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30" windowWidth="17100" windowHeight="7815" tabRatio="922"/>
  </bookViews>
  <sheets>
    <sheet name="Cover Page" sheetId="18" r:id="rId1"/>
    <sheet name="Instructions&amp;Overview" sheetId="3" r:id="rId2"/>
    <sheet name="LandUseLoadingRatesLookUpTable" sheetId="6" r:id="rId3"/>
    <sheet name="Christina Basin MapShed Output" sheetId="4" r:id="rId4"/>
    <sheet name="Map" sheetId="7" r:id="rId5"/>
    <sheet name="Farm Animal TN and TP Loading" sheetId="15" r:id="rId6"/>
    <sheet name="Stream Bank SedimentLoadingRate" sheetId="9" r:id="rId7"/>
    <sheet name="Stream Bank Nitrogen Loading" sheetId="16" r:id="rId8"/>
    <sheet name="Stream Bank Phosphorus Loading" sheetId="17" r:id="rId9"/>
    <sheet name="TMDL % Reductions" sheetId="14" r:id="rId10"/>
  </sheets>
  <definedNames>
    <definedName name="_xlnm.Print_Area" localSheetId="4">Map!$A$1:$F$75</definedName>
  </definedNames>
  <calcPr calcId="145621"/>
</workbook>
</file>

<file path=xl/calcChain.xml><?xml version="1.0" encoding="utf-8"?>
<calcChain xmlns="http://schemas.openxmlformats.org/spreadsheetml/2006/main">
  <c r="Y27" i="6" l="1"/>
  <c r="C36" i="17" l="1"/>
  <c r="A143" i="17" l="1"/>
  <c r="A141" i="17"/>
  <c r="A94" i="17"/>
  <c r="A92" i="17"/>
  <c r="A48" i="17"/>
  <c r="A46" i="17"/>
  <c r="A39" i="17"/>
  <c r="C156" i="17"/>
  <c r="C29" i="17"/>
  <c r="C28" i="17"/>
  <c r="C27" i="17"/>
  <c r="C26" i="17"/>
  <c r="C25" i="17"/>
  <c r="C24" i="17"/>
  <c r="C23" i="17"/>
  <c r="C22" i="17"/>
  <c r="C21" i="17"/>
  <c r="C20" i="17"/>
  <c r="C19" i="17"/>
  <c r="C18" i="17"/>
  <c r="C17" i="17"/>
  <c r="C16" i="17"/>
  <c r="C15" i="17"/>
  <c r="C14" i="17"/>
  <c r="A5" i="17"/>
  <c r="A3" i="17"/>
  <c r="C36" i="16"/>
  <c r="A143" i="16"/>
  <c r="A141" i="16"/>
  <c r="A94" i="16"/>
  <c r="A92" i="16"/>
  <c r="A48" i="16"/>
  <c r="A46" i="16"/>
  <c r="A39" i="16"/>
  <c r="C156" i="16"/>
  <c r="C29" i="16"/>
  <c r="C28" i="16"/>
  <c r="C27" i="16"/>
  <c r="C26" i="16"/>
  <c r="C25" i="16"/>
  <c r="C24" i="16"/>
  <c r="C23" i="16"/>
  <c r="C22" i="16"/>
  <c r="C21" i="16"/>
  <c r="C20" i="16"/>
  <c r="C19" i="16"/>
  <c r="C18" i="16"/>
  <c r="C17" i="16"/>
  <c r="C16" i="16"/>
  <c r="C15" i="16"/>
  <c r="C14" i="16"/>
  <c r="A5" i="16"/>
  <c r="A3" i="16"/>
  <c r="C55" i="17" l="1"/>
  <c r="E86" i="17" s="1"/>
  <c r="C31" i="17"/>
  <c r="D150" i="17"/>
  <c r="C41" i="17"/>
  <c r="C65" i="17" s="1"/>
  <c r="C53" i="17"/>
  <c r="E84" i="17" s="1"/>
  <c r="C54" i="17"/>
  <c r="C63" i="17"/>
  <c r="C86" i="17"/>
  <c r="C53" i="16"/>
  <c r="D148" i="16" s="1"/>
  <c r="C54" i="16"/>
  <c r="C85" i="16" s="1"/>
  <c r="C41" i="16"/>
  <c r="C65" i="16" s="1"/>
  <c r="C55" i="16"/>
  <c r="D150" i="16" s="1"/>
  <c r="E85" i="16"/>
  <c r="C63" i="16"/>
  <c r="C31" i="16"/>
  <c r="A3" i="3"/>
  <c r="A2" i="3"/>
  <c r="C84" i="17" l="1"/>
  <c r="C85" i="17"/>
  <c r="C100" i="17" s="1"/>
  <c r="D149" i="16"/>
  <c r="C56" i="17"/>
  <c r="D55" i="17" s="1"/>
  <c r="E85" i="17"/>
  <c r="E86" i="16"/>
  <c r="D149" i="17"/>
  <c r="D148" i="17"/>
  <c r="C64" i="17"/>
  <c r="D56" i="17"/>
  <c r="E69" i="17"/>
  <c r="C69" i="17"/>
  <c r="C99" i="17"/>
  <c r="D53" i="17"/>
  <c r="C160" i="17"/>
  <c r="C56" i="16"/>
  <c r="D56" i="16" s="1"/>
  <c r="C84" i="16"/>
  <c r="C86" i="16"/>
  <c r="C101" i="16" s="1"/>
  <c r="E84" i="16"/>
  <c r="E69" i="16"/>
  <c r="C69" i="16"/>
  <c r="C99" i="16"/>
  <c r="A6" i="6"/>
  <c r="A5" i="6"/>
  <c r="A3" i="6"/>
  <c r="A42" i="9"/>
  <c r="D20" i="15"/>
  <c r="D19" i="15"/>
  <c r="E15" i="15"/>
  <c r="E32" i="15" s="1"/>
  <c r="D15" i="15"/>
  <c r="D32" i="15" s="1"/>
  <c r="A5" i="15"/>
  <c r="A3" i="15"/>
  <c r="C87" i="16" l="1"/>
  <c r="E101" i="16" s="1"/>
  <c r="C87" i="17"/>
  <c r="E100" i="17" s="1"/>
  <c r="C101" i="17"/>
  <c r="C102" i="17" s="1"/>
  <c r="D54" i="17"/>
  <c r="E99" i="17"/>
  <c r="E66" i="17"/>
  <c r="C66" i="17"/>
  <c r="D54" i="16"/>
  <c r="D53" i="16"/>
  <c r="C100" i="16"/>
  <c r="C102" i="16" s="1"/>
  <c r="C64" i="16"/>
  <c r="E66" i="16" s="1"/>
  <c r="C160" i="16"/>
  <c r="D55" i="16"/>
  <c r="E100" i="16"/>
  <c r="F26" i="15"/>
  <c r="D26" i="15"/>
  <c r="E101" i="17" l="1"/>
  <c r="E99" i="16"/>
  <c r="C66" i="16"/>
  <c r="C68" i="16" s="1"/>
  <c r="C70" i="16" s="1"/>
  <c r="E68" i="17"/>
  <c r="C68" i="17"/>
  <c r="C70" i="17" s="1"/>
  <c r="E68" i="16"/>
  <c r="E33" i="15"/>
  <c r="E35" i="15" s="1"/>
  <c r="D33" i="15"/>
  <c r="D35" i="15" s="1"/>
  <c r="A144" i="9"/>
  <c r="A95" i="9"/>
  <c r="A49" i="9"/>
  <c r="A3" i="9"/>
  <c r="C157" i="17" l="1"/>
  <c r="C107" i="17"/>
  <c r="C157" i="16"/>
  <c r="E158" i="16" s="1"/>
  <c r="C107" i="16"/>
  <c r="A146" i="9"/>
  <c r="A97" i="9"/>
  <c r="A51" i="9"/>
  <c r="C32" i="9"/>
  <c r="C31" i="9"/>
  <c r="C30" i="9"/>
  <c r="C29" i="9"/>
  <c r="C28" i="9"/>
  <c r="C27" i="9"/>
  <c r="C26" i="9"/>
  <c r="C25" i="9"/>
  <c r="C24" i="9"/>
  <c r="C23" i="9"/>
  <c r="C22" i="9"/>
  <c r="C21" i="9"/>
  <c r="C20" i="9"/>
  <c r="C19" i="9"/>
  <c r="C18" i="9"/>
  <c r="C17" i="9"/>
  <c r="C14" i="9"/>
  <c r="E39" i="9" s="1"/>
  <c r="A5" i="9"/>
  <c r="M45" i="6"/>
  <c r="K45" i="6"/>
  <c r="J45" i="6"/>
  <c r="H45" i="6"/>
  <c r="G45" i="6"/>
  <c r="E45" i="6"/>
  <c r="D45" i="6"/>
  <c r="C45" i="6"/>
  <c r="M44" i="6"/>
  <c r="K44" i="6"/>
  <c r="J44" i="6"/>
  <c r="H44" i="6"/>
  <c r="G44" i="6"/>
  <c r="E44" i="6"/>
  <c r="D44" i="6"/>
  <c r="C44" i="6"/>
  <c r="M43" i="6"/>
  <c r="K43" i="6"/>
  <c r="J43" i="6"/>
  <c r="H43" i="6"/>
  <c r="G43" i="6"/>
  <c r="E43" i="6"/>
  <c r="D43" i="6"/>
  <c r="C43" i="6"/>
  <c r="M38" i="6"/>
  <c r="K38" i="6"/>
  <c r="J38" i="6"/>
  <c r="H38" i="6"/>
  <c r="G38" i="6"/>
  <c r="E38" i="6"/>
  <c r="D38" i="6"/>
  <c r="C38" i="6"/>
  <c r="M37" i="6"/>
  <c r="K37" i="6"/>
  <c r="J37" i="6"/>
  <c r="H37" i="6"/>
  <c r="G37" i="6"/>
  <c r="E37" i="6"/>
  <c r="D37" i="6"/>
  <c r="C37" i="6"/>
  <c r="M36" i="6"/>
  <c r="K36" i="6"/>
  <c r="J36" i="6"/>
  <c r="H36" i="6"/>
  <c r="G36" i="6"/>
  <c r="E36" i="6"/>
  <c r="D36" i="6"/>
  <c r="C36" i="6"/>
  <c r="M32" i="6"/>
  <c r="K32" i="6"/>
  <c r="J32" i="6"/>
  <c r="H32" i="6"/>
  <c r="G32" i="6"/>
  <c r="E32" i="6"/>
  <c r="D32" i="6"/>
  <c r="C32" i="6"/>
  <c r="M31" i="6"/>
  <c r="K31" i="6"/>
  <c r="J31" i="6"/>
  <c r="H31" i="6"/>
  <c r="G31" i="6"/>
  <c r="E31" i="6"/>
  <c r="D31" i="6"/>
  <c r="C31" i="6"/>
  <c r="M30" i="6"/>
  <c r="K30" i="6"/>
  <c r="J30" i="6"/>
  <c r="H30" i="6"/>
  <c r="G30" i="6"/>
  <c r="E30" i="6"/>
  <c r="D30" i="6"/>
  <c r="C30" i="6"/>
  <c r="M29" i="6"/>
  <c r="K29" i="6"/>
  <c r="J29" i="6"/>
  <c r="H29" i="6"/>
  <c r="G29" i="6"/>
  <c r="E29" i="6"/>
  <c r="D29" i="6"/>
  <c r="C29" i="6"/>
  <c r="M28" i="6"/>
  <c r="K28" i="6"/>
  <c r="J28" i="6"/>
  <c r="H28" i="6"/>
  <c r="G28" i="6"/>
  <c r="E28" i="6"/>
  <c r="D28" i="6"/>
  <c r="C28" i="6"/>
  <c r="M27" i="6"/>
  <c r="K27" i="6"/>
  <c r="J27" i="6"/>
  <c r="H27" i="6"/>
  <c r="G27" i="6"/>
  <c r="E27" i="6"/>
  <c r="D27" i="6"/>
  <c r="C27" i="6"/>
  <c r="M26" i="6"/>
  <c r="K26" i="6"/>
  <c r="J26" i="6"/>
  <c r="H26" i="6"/>
  <c r="G26" i="6"/>
  <c r="E26" i="6"/>
  <c r="D26" i="6"/>
  <c r="C26" i="6"/>
  <c r="M25" i="6"/>
  <c r="K25" i="6"/>
  <c r="J25" i="6"/>
  <c r="H25" i="6"/>
  <c r="G25" i="6"/>
  <c r="E25" i="6"/>
  <c r="D25" i="6"/>
  <c r="C25" i="6"/>
  <c r="M24" i="6"/>
  <c r="K24" i="6"/>
  <c r="J24" i="6"/>
  <c r="H24" i="6"/>
  <c r="G24" i="6"/>
  <c r="E24" i="6"/>
  <c r="D24" i="6"/>
  <c r="C24" i="6"/>
  <c r="M23" i="6"/>
  <c r="K23" i="6"/>
  <c r="J23" i="6"/>
  <c r="H23" i="6"/>
  <c r="G23" i="6"/>
  <c r="E23" i="6"/>
  <c r="D23" i="6"/>
  <c r="C23" i="6"/>
  <c r="M22" i="6"/>
  <c r="K22" i="6"/>
  <c r="J22" i="6"/>
  <c r="H22" i="6"/>
  <c r="G22" i="6"/>
  <c r="E22" i="6"/>
  <c r="D22" i="6"/>
  <c r="C22" i="6"/>
  <c r="M21" i="6"/>
  <c r="K21" i="6"/>
  <c r="J21" i="6"/>
  <c r="H21" i="6"/>
  <c r="G21" i="6"/>
  <c r="E21" i="6"/>
  <c r="D21" i="6"/>
  <c r="C21" i="6"/>
  <c r="M20" i="6"/>
  <c r="K20" i="6"/>
  <c r="J20" i="6"/>
  <c r="H20" i="6"/>
  <c r="G20" i="6"/>
  <c r="E20" i="6"/>
  <c r="D20" i="6"/>
  <c r="C20" i="6"/>
  <c r="M19" i="6"/>
  <c r="K19" i="6"/>
  <c r="J19" i="6"/>
  <c r="H19" i="6"/>
  <c r="G19" i="6"/>
  <c r="E19" i="6"/>
  <c r="D19" i="6"/>
  <c r="C19" i="6"/>
  <c r="M18" i="6"/>
  <c r="K18" i="6"/>
  <c r="J18" i="6"/>
  <c r="H18" i="6"/>
  <c r="G18" i="6"/>
  <c r="E18" i="6"/>
  <c r="D18" i="6"/>
  <c r="C18" i="6"/>
  <c r="M17" i="6"/>
  <c r="K17" i="6"/>
  <c r="J17" i="6"/>
  <c r="H17" i="6"/>
  <c r="G17" i="6"/>
  <c r="E17" i="6"/>
  <c r="D17" i="6"/>
  <c r="C17" i="6"/>
  <c r="X17" i="6" l="1"/>
  <c r="U17" i="6"/>
  <c r="Z17" i="6"/>
  <c r="S17" i="6"/>
  <c r="X18" i="6"/>
  <c r="U18" i="6"/>
  <c r="Z18" i="6"/>
  <c r="S18" i="6"/>
  <c r="S19" i="6"/>
  <c r="X19" i="6"/>
  <c r="S20" i="6"/>
  <c r="X20" i="6"/>
  <c r="X21" i="6"/>
  <c r="S21" i="6"/>
  <c r="X22" i="6"/>
  <c r="S22" i="6"/>
  <c r="S23" i="6"/>
  <c r="X23" i="6"/>
  <c r="Y24" i="6"/>
  <c r="S24" i="6"/>
  <c r="X24" i="6"/>
  <c r="T24" i="6"/>
  <c r="Y25" i="6"/>
  <c r="X25" i="6"/>
  <c r="T25" i="6"/>
  <c r="S25" i="6"/>
  <c r="Y26" i="6"/>
  <c r="X26" i="6"/>
  <c r="T26" i="6"/>
  <c r="S26" i="6"/>
  <c r="S27" i="6"/>
  <c r="X27" i="6"/>
  <c r="S28" i="6"/>
  <c r="X28" i="6"/>
  <c r="X29" i="6"/>
  <c r="S29" i="6"/>
  <c r="X30" i="6"/>
  <c r="S30" i="6"/>
  <c r="S31" i="6"/>
  <c r="X31" i="6"/>
  <c r="S32" i="6"/>
  <c r="X32" i="6"/>
  <c r="E158" i="17"/>
  <c r="C158" i="17"/>
  <c r="E109" i="17"/>
  <c r="C109" i="17"/>
  <c r="E108" i="17"/>
  <c r="C108" i="17"/>
  <c r="E109" i="16"/>
  <c r="C109" i="16"/>
  <c r="C108" i="16"/>
  <c r="E108" i="16"/>
  <c r="C158" i="16"/>
  <c r="C34" i="9"/>
  <c r="O22" i="6"/>
  <c r="O26" i="6"/>
  <c r="O27" i="6"/>
  <c r="O28" i="6"/>
  <c r="O29" i="6"/>
  <c r="O30" i="6"/>
  <c r="O31" i="6"/>
  <c r="O32" i="6"/>
  <c r="O17" i="6"/>
  <c r="O18" i="6"/>
  <c r="O19" i="6"/>
  <c r="O20" i="6"/>
  <c r="O21" i="6"/>
  <c r="O23" i="6"/>
  <c r="O24" i="6"/>
  <c r="O25" i="6"/>
  <c r="P24" i="6"/>
  <c r="P26" i="6"/>
  <c r="P25" i="6"/>
  <c r="B5" i="4"/>
  <c r="A113" i="17" l="1"/>
  <c r="C118" i="17"/>
  <c r="C117" i="17"/>
  <c r="D116" i="17"/>
  <c r="D117" i="17"/>
  <c r="D118" i="17"/>
  <c r="C116" i="17"/>
  <c r="C162" i="17"/>
  <c r="E162" i="17"/>
  <c r="A122" i="17"/>
  <c r="D126" i="17"/>
  <c r="C126" i="17"/>
  <c r="C125" i="17"/>
  <c r="C127" i="17"/>
  <c r="D127" i="17"/>
  <c r="D125" i="17"/>
  <c r="A113" i="16"/>
  <c r="C117" i="16"/>
  <c r="D118" i="16"/>
  <c r="D116" i="16"/>
  <c r="C118" i="16"/>
  <c r="D117" i="16"/>
  <c r="C116" i="16"/>
  <c r="C162" i="16"/>
  <c r="T22" i="6" s="1"/>
  <c r="E162" i="16"/>
  <c r="A122" i="16"/>
  <c r="C126" i="16"/>
  <c r="D127" i="16"/>
  <c r="C125" i="16"/>
  <c r="C127" i="16"/>
  <c r="D126" i="16"/>
  <c r="D125" i="16"/>
  <c r="Y22" i="6" l="1"/>
  <c r="T18" i="6"/>
  <c r="T21" i="6"/>
  <c r="T17" i="6"/>
  <c r="T19" i="6"/>
  <c r="V19" i="6" s="1"/>
  <c r="T20" i="6"/>
  <c r="T23" i="6"/>
  <c r="Y17" i="6"/>
  <c r="Y19" i="6"/>
  <c r="Y20" i="6"/>
  <c r="Y21" i="6"/>
  <c r="Y23" i="6"/>
  <c r="Y18" i="6"/>
  <c r="D135" i="17"/>
  <c r="C135" i="17"/>
  <c r="C150" i="17" s="1"/>
  <c r="D133" i="17"/>
  <c r="C133" i="17"/>
  <c r="C148" i="17" s="1"/>
  <c r="D134" i="17"/>
  <c r="C134" i="17"/>
  <c r="C149" i="17" s="1"/>
  <c r="D133" i="16"/>
  <c r="C133" i="16"/>
  <c r="C148" i="16" s="1"/>
  <c r="D134" i="16"/>
  <c r="C134" i="16"/>
  <c r="C149" i="16" s="1"/>
  <c r="D135" i="16"/>
  <c r="C135" i="16"/>
  <c r="C150" i="16" s="1"/>
  <c r="F149" i="17" l="1"/>
  <c r="E149" i="17"/>
  <c r="F150" i="17"/>
  <c r="E150" i="17"/>
  <c r="F148" i="17"/>
  <c r="E148" i="17"/>
  <c r="Y30" i="6" s="1"/>
  <c r="F149" i="16"/>
  <c r="E149" i="16"/>
  <c r="E150" i="16"/>
  <c r="F150" i="16"/>
  <c r="F148" i="16"/>
  <c r="E148" i="16"/>
  <c r="T30" i="6" l="1"/>
  <c r="T27" i="6"/>
  <c r="Y29" i="6"/>
  <c r="Y32" i="6"/>
  <c r="T28" i="6"/>
  <c r="T31" i="6"/>
  <c r="Y28" i="6"/>
  <c r="Y31" i="6"/>
  <c r="T29" i="6"/>
  <c r="T32" i="6"/>
  <c r="C39" i="9"/>
  <c r="C66" i="9" s="1"/>
  <c r="E72" i="9" l="1"/>
  <c r="C57" i="9"/>
  <c r="E88" i="9" s="1"/>
  <c r="C44" i="9"/>
  <c r="C68" i="9" s="1"/>
  <c r="C58" i="9"/>
  <c r="E89" i="9" s="1"/>
  <c r="C56" i="9"/>
  <c r="E87" i="9" s="1"/>
  <c r="C159" i="9"/>
  <c r="C72" i="9"/>
  <c r="D152" i="9" l="1"/>
  <c r="D151" i="9"/>
  <c r="D153" i="9"/>
  <c r="C89" i="9"/>
  <c r="C88" i="9"/>
  <c r="C87" i="9"/>
  <c r="C59" i="9"/>
  <c r="D57" i="9" s="1"/>
  <c r="C163" i="9" l="1"/>
  <c r="D59" i="9"/>
  <c r="D58" i="9"/>
  <c r="D56" i="9"/>
  <c r="C102" i="9"/>
  <c r="C90" i="9"/>
  <c r="E102" i="9" s="1"/>
  <c r="C104" i="9"/>
  <c r="C103" i="9"/>
  <c r="C67" i="9"/>
  <c r="E69" i="9" s="1"/>
  <c r="E104" i="9" l="1"/>
  <c r="E103" i="9"/>
  <c r="C69" i="9"/>
  <c r="E71" i="9" s="1"/>
  <c r="C105" i="9"/>
  <c r="C71" i="9" l="1"/>
  <c r="C73" i="9" s="1"/>
  <c r="C110" i="9" l="1"/>
  <c r="C160" i="9"/>
  <c r="E161" i="9" s="1"/>
  <c r="E112" i="9" l="1"/>
  <c r="E111" i="9"/>
  <c r="C161" i="9"/>
  <c r="E165" i="9" s="1"/>
  <c r="C111" i="9"/>
  <c r="C112" i="9"/>
  <c r="A125" i="9" l="1"/>
  <c r="D129" i="9"/>
  <c r="D130" i="9"/>
  <c r="D128" i="9"/>
  <c r="A116" i="9"/>
  <c r="D120" i="9"/>
  <c r="D119" i="9"/>
  <c r="D121" i="9"/>
  <c r="C119" i="9"/>
  <c r="C165" i="9"/>
  <c r="P22" i="6" s="1"/>
  <c r="C129" i="9"/>
  <c r="C130" i="9"/>
  <c r="C128" i="9"/>
  <c r="C121" i="9"/>
  <c r="C120" i="9"/>
  <c r="D137" i="9" s="1"/>
  <c r="D138" i="9" l="1"/>
  <c r="D136" i="9"/>
  <c r="P17" i="6"/>
  <c r="P20" i="6"/>
  <c r="Q20" i="6" s="1"/>
  <c r="P23" i="6"/>
  <c r="Q23" i="6" s="1"/>
  <c r="P19" i="6"/>
  <c r="P21" i="6"/>
  <c r="Q21" i="6" s="1"/>
  <c r="P18" i="6"/>
  <c r="V24" i="6"/>
  <c r="V27" i="6"/>
  <c r="V17" i="6"/>
  <c r="Q25" i="6"/>
  <c r="V26" i="6"/>
  <c r="V31" i="6"/>
  <c r="V32" i="6"/>
  <c r="C137" i="9"/>
  <c r="C152" i="9" s="1"/>
  <c r="F152" i="9" s="1"/>
  <c r="C136" i="9"/>
  <c r="C151" i="9" s="1"/>
  <c r="F151" i="9" s="1"/>
  <c r="C138" i="9"/>
  <c r="C153" i="9" s="1"/>
  <c r="F153" i="9" s="1"/>
  <c r="V23" i="6" l="1"/>
  <c r="Q22" i="6"/>
  <c r="Q17" i="6"/>
  <c r="Q26" i="6"/>
  <c r="V29" i="6"/>
  <c r="AA23" i="6"/>
  <c r="V28" i="6"/>
  <c r="AA18" i="6"/>
  <c r="AA27" i="6"/>
  <c r="AA19" i="6"/>
  <c r="Q19" i="6"/>
  <c r="AA20" i="6"/>
  <c r="Q18" i="6"/>
  <c r="V18" i="6"/>
  <c r="V20" i="6"/>
  <c r="AA29" i="6"/>
  <c r="AA30" i="6"/>
  <c r="AA26" i="6"/>
  <c r="AA24" i="6"/>
  <c r="AA21" i="6"/>
  <c r="V25" i="6"/>
  <c r="AA31" i="6"/>
  <c r="AA25" i="6"/>
  <c r="AA17" i="6"/>
  <c r="AA32" i="6"/>
  <c r="AA28" i="6"/>
  <c r="AA22" i="6"/>
  <c r="V21" i="6"/>
  <c r="V30" i="6"/>
  <c r="Q24" i="6"/>
  <c r="V22" i="6"/>
  <c r="E152" i="9"/>
  <c r="E153" i="9"/>
  <c r="E151" i="9"/>
  <c r="P27" i="6" s="1"/>
  <c r="Q27" i="6" s="1"/>
  <c r="P30" i="6" l="1"/>
  <c r="Q30" i="6" s="1"/>
  <c r="P29" i="6"/>
  <c r="Q29" i="6" s="1"/>
  <c r="P32" i="6"/>
  <c r="Q32" i="6" s="1"/>
  <c r="P31" i="6"/>
  <c r="Q31" i="6" s="1"/>
  <c r="P28" i="6"/>
  <c r="Q28" i="6" s="1"/>
</calcChain>
</file>

<file path=xl/sharedStrings.xml><?xml version="1.0" encoding="utf-8"?>
<sst xmlns="http://schemas.openxmlformats.org/spreadsheetml/2006/main" count="809" uniqueCount="352">
  <si>
    <t>Source</t>
  </si>
  <si>
    <t>Area</t>
  </si>
  <si>
    <t>Runoff</t>
  </si>
  <si>
    <t>Erosion</t>
  </si>
  <si>
    <t>Sediment</t>
  </si>
  <si>
    <t>Dis N</t>
  </si>
  <si>
    <t>Tot N</t>
  </si>
  <si>
    <t>Dis P</t>
  </si>
  <si>
    <t>Tot P</t>
  </si>
  <si>
    <t>Hay/Past</t>
  </si>
  <si>
    <t>Cropland</t>
  </si>
  <si>
    <t>Forest</t>
  </si>
  <si>
    <t>Wetland</t>
  </si>
  <si>
    <t>Disturbed</t>
  </si>
  <si>
    <t>Turfgrass</t>
  </si>
  <si>
    <t>Open_Land</t>
  </si>
  <si>
    <t>Bare_Rock</t>
  </si>
  <si>
    <t>Sandy_Areas</t>
  </si>
  <si>
    <t>Unpaved_Road</t>
  </si>
  <si>
    <t>Ld_Mixed</t>
  </si>
  <si>
    <t>Md_Mixed</t>
  </si>
  <si>
    <t>Hd_Mixed</t>
  </si>
  <si>
    <t>Ld_Residential</t>
  </si>
  <si>
    <t>Md_Residential</t>
  </si>
  <si>
    <t>Hd_Residential</t>
  </si>
  <si>
    <t>Farm Animals</t>
  </si>
  <si>
    <t xml:space="preserve"> </t>
  </si>
  <si>
    <t>Tile Drainage</t>
  </si>
  <si>
    <t>Stream Bank</t>
  </si>
  <si>
    <t>Groundwater</t>
  </si>
  <si>
    <t>Point Source</t>
  </si>
  <si>
    <t>Septic Systems</t>
  </si>
  <si>
    <t>acres</t>
  </si>
  <si>
    <t>inches</t>
  </si>
  <si>
    <t>Tons</t>
  </si>
  <si>
    <t>Pounds</t>
  </si>
  <si>
    <t>Units</t>
  </si>
  <si>
    <t>Total Nitrogen</t>
  </si>
  <si>
    <t>Total Phosphorus</t>
  </si>
  <si>
    <t>Land Use Categories from MapShed</t>
  </si>
  <si>
    <t>lbs/acre</t>
  </si>
  <si>
    <t>TOTAL SEDIMENT LOADING RATE</t>
  </si>
  <si>
    <t>Tons * 2000 lbs/ton
acres of a land use</t>
  </si>
  <si>
    <t xml:space="preserve">SEDIMENT  </t>
  </si>
  <si>
    <t>NITROGEN</t>
  </si>
  <si>
    <t>PHOSPHORUS</t>
  </si>
  <si>
    <t>TOTAL NITROGEN LOADING RATE</t>
  </si>
  <si>
    <t>TOTAL PHOSPHORUS LOADING RATE</t>
  </si>
  <si>
    <r>
      <t xml:space="preserve">From    </t>
    </r>
    <r>
      <rPr>
        <b/>
        <sz val="10"/>
        <color theme="1"/>
        <rFont val="Arial"/>
        <family val="2"/>
      </rPr>
      <t>Land Use</t>
    </r>
  </si>
  <si>
    <t>tons</t>
  </si>
  <si>
    <t>pounds</t>
  </si>
  <si>
    <t xml:space="preserve">Area (acres) </t>
  </si>
  <si>
    <t>Low Density Developed</t>
  </si>
  <si>
    <t>Medium Density Developed</t>
  </si>
  <si>
    <t>High Density Developed</t>
  </si>
  <si>
    <t>Total</t>
  </si>
  <si>
    <t>Estimated Impervious Surfaces for Developed Lands</t>
  </si>
  <si>
    <t>Percent of Total Impervious Surfaces</t>
  </si>
  <si>
    <t>Stream Bank Sediment Load</t>
  </si>
  <si>
    <t>Total Developed Acres</t>
  </si>
  <si>
    <t>Total Stream Bank Load</t>
  </si>
  <si>
    <t>Remaining Load assigned to Undeveloped Lands</t>
  </si>
  <si>
    <t>Acres of Undeveloped Lands</t>
  </si>
  <si>
    <t>pounds per acre</t>
  </si>
  <si>
    <t>Sediment Load, pounds</t>
  </si>
  <si>
    <t>from Step 4</t>
  </si>
  <si>
    <t>from Step 2</t>
  </si>
  <si>
    <t>from Step 3</t>
  </si>
  <si>
    <t>60% of Load assigned to Impervious</t>
  </si>
  <si>
    <t>40% of Load assigned for total land area</t>
  </si>
  <si>
    <t>Area of Developed Lands</t>
  </si>
  <si>
    <t>percent</t>
  </si>
  <si>
    <t>Land Use area, acres</t>
  </si>
  <si>
    <t>Hay/Pasture</t>
  </si>
  <si>
    <t>Nutrient Load from Farm Animals</t>
  </si>
  <si>
    <t>Area of Hay/Pasture &amp; Cropland, acres</t>
  </si>
  <si>
    <t>Loading Rate for Hay/Pasture &amp; Cropland</t>
  </si>
  <si>
    <t>pounds, from Step 1</t>
  </si>
  <si>
    <t>acres, from Step 2</t>
  </si>
  <si>
    <t>inches/year</t>
  </si>
  <si>
    <t>tons/year</t>
  </si>
  <si>
    <t>lbs/year</t>
  </si>
  <si>
    <t xml:space="preserve">Data Entered By: </t>
  </si>
  <si>
    <t>Source File Name:</t>
  </si>
  <si>
    <t xml:space="preserve">Date Data Entered: </t>
  </si>
  <si>
    <t>Chester County Water Resources Authority</t>
  </si>
  <si>
    <t>Year:</t>
  </si>
  <si>
    <t>Acres</t>
  </si>
  <si>
    <t xml:space="preserve"> [ Ld_Mixed + Ld_Residential ]</t>
  </si>
  <si>
    <t xml:space="preserve"> [ Md_Mixed + Md_Residential ]</t>
  </si>
  <si>
    <t xml:space="preserve"> [ Hd_Mixed + Hd_Residential ]</t>
  </si>
  <si>
    <t xml:space="preserve"> [ All "Developed" land use categories ]</t>
  </si>
  <si>
    <t xml:space="preserve"> [ result of Step 5 ]</t>
  </si>
  <si>
    <t xml:space="preserve"> [ from Step 3 ]</t>
  </si>
  <si>
    <t xml:space="preserve"> [ from Step 5 ]</t>
  </si>
  <si>
    <t xml:space="preserve"> [ sum of "Undeveloped Land" from Step 1 ]</t>
  </si>
  <si>
    <t>n/a</t>
  </si>
  <si>
    <r>
      <rPr>
        <u/>
        <sz val="10"/>
        <color theme="1"/>
        <rFont val="Arial"/>
        <family val="2"/>
      </rPr>
      <t>Year</t>
    </r>
    <r>
      <rPr>
        <sz val="10"/>
        <color theme="1"/>
        <rFont val="Arial"/>
        <family val="2"/>
      </rPr>
      <t xml:space="preserve">: </t>
    </r>
  </si>
  <si>
    <t>Step 2. Convert the Stream Bank Sediment Load to pounds by multiplying tons by 2,000 pounds per ton.</t>
  </si>
  <si>
    <t>Stream Bank Sediment Loading rate for Undeveloped Lands</t>
  </si>
  <si>
    <t>Load assigned to Developed Lands</t>
  </si>
  <si>
    <t>Load Assigned to Developed Lands</t>
  </si>
  <si>
    <t>OVERVIEW:</t>
  </si>
  <si>
    <t>THIS WORKBOOK CONTAINS:</t>
  </si>
  <si>
    <t>Watershed:</t>
  </si>
  <si>
    <t>Percent of Developed lands in watershed</t>
  </si>
  <si>
    <t xml:space="preserve">Sediment (tons/year) </t>
  </si>
  <si>
    <t>Total Nitrogen (kg/day)</t>
  </si>
  <si>
    <t xml:space="preserve">Total Phosphorus (kg/day) </t>
  </si>
  <si>
    <r>
      <t xml:space="preserve"> Baseline MS4 Load</t>
    </r>
    <r>
      <rPr>
        <b/>
        <vertAlign val="superscript"/>
        <sz val="10"/>
        <rFont val="Arial"/>
        <family val="2"/>
      </rPr>
      <t>1b.</t>
    </r>
  </si>
  <si>
    <r>
      <t>MS4 Load Allocation</t>
    </r>
    <r>
      <rPr>
        <b/>
        <vertAlign val="superscript"/>
        <sz val="10"/>
        <rFont val="Arial"/>
        <family val="2"/>
      </rPr>
      <t>1b.</t>
    </r>
  </si>
  <si>
    <r>
      <t xml:space="preserve">MS4 Load Reduction </t>
    </r>
    <r>
      <rPr>
        <b/>
        <vertAlign val="superscript"/>
        <sz val="10"/>
        <rFont val="Arial"/>
        <family val="2"/>
      </rPr>
      <t>1e.</t>
    </r>
  </si>
  <si>
    <r>
      <t>% Reduction</t>
    </r>
    <r>
      <rPr>
        <b/>
        <vertAlign val="superscript"/>
        <sz val="10"/>
        <rFont val="Arial"/>
        <family val="2"/>
      </rPr>
      <t>1b.</t>
    </r>
  </si>
  <si>
    <r>
      <t>MS4 Allocation</t>
    </r>
    <r>
      <rPr>
        <b/>
        <vertAlign val="superscript"/>
        <sz val="10"/>
        <rFont val="Arial"/>
        <family val="2"/>
      </rPr>
      <t>2a.</t>
    </r>
  </si>
  <si>
    <r>
      <t>MS4 Load Reduction</t>
    </r>
    <r>
      <rPr>
        <b/>
        <vertAlign val="superscript"/>
        <sz val="10"/>
        <rFont val="Arial"/>
        <family val="2"/>
      </rPr>
      <t>2m.</t>
    </r>
  </si>
  <si>
    <r>
      <t xml:space="preserve">% Reduction </t>
    </r>
    <r>
      <rPr>
        <b/>
        <vertAlign val="superscript"/>
        <sz val="10"/>
        <rFont val="Arial"/>
        <family val="2"/>
      </rPr>
      <t>2m.</t>
    </r>
  </si>
  <si>
    <r>
      <t xml:space="preserve">MS4 Allocation </t>
    </r>
    <r>
      <rPr>
        <b/>
        <vertAlign val="superscript"/>
        <sz val="10"/>
        <rFont val="Arial"/>
        <family val="2"/>
      </rPr>
      <t>2d.</t>
    </r>
  </si>
  <si>
    <t xml:space="preserve"> BIRMINGHAM TWP  </t>
  </si>
  <si>
    <t xml:space="preserve"> COATESVILLE CITY  </t>
  </si>
  <si>
    <t xml:space="preserve"> EAST BRADFORD TWP  </t>
  </si>
  <si>
    <t xml:space="preserve"> EAST BRANDYWINE TWP  </t>
  </si>
  <si>
    <t xml:space="preserve"> EAST FALLOWFIELD TWP  </t>
  </si>
  <si>
    <t xml:space="preserve"> EAST MARLBOROUGH TWP </t>
  </si>
  <si>
    <t xml:space="preserve"> HIGHLAND TWP  </t>
  </si>
  <si>
    <t xml:space="preserve"> HONEY BROOK BORO  </t>
  </si>
  <si>
    <t xml:space="preserve"> HONEY BROOK TWP  </t>
  </si>
  <si>
    <t xml:space="preserve"> KENNETT TWP  </t>
  </si>
  <si>
    <t xml:space="preserve"> MODENA BORO  </t>
  </si>
  <si>
    <t xml:space="preserve"> NEWLIN TWP  </t>
  </si>
  <si>
    <t xml:space="preserve"> PARKESBURG BORO  </t>
  </si>
  <si>
    <t xml:space="preserve"> PENNSBURY TWP  </t>
  </si>
  <si>
    <t xml:space="preserve"> POCOPSON TWP  </t>
  </si>
  <si>
    <t xml:space="preserve"> SADSBURY TWP  </t>
  </si>
  <si>
    <t xml:space="preserve"> THORNBURY TWP  </t>
  </si>
  <si>
    <t xml:space="preserve"> UPPER UWCHLAN TWP  </t>
  </si>
  <si>
    <t xml:space="preserve"> VALLEY TWP  </t>
  </si>
  <si>
    <t xml:space="preserve"> WALLACE TWP  </t>
  </si>
  <si>
    <t xml:space="preserve"> WEST BRADFORD TWP  </t>
  </si>
  <si>
    <t xml:space="preserve"> WEST BRANDYWINE TWP  </t>
  </si>
  <si>
    <t xml:space="preserve"> WEST CALN TWP  </t>
  </si>
  <si>
    <t xml:space="preserve"> WEST GOSHEN TWP  </t>
  </si>
  <si>
    <t>Red Clay Creek Watershed</t>
  </si>
  <si>
    <r>
      <t xml:space="preserve"> Baseline MS4 Load</t>
    </r>
    <r>
      <rPr>
        <b/>
        <vertAlign val="superscript"/>
        <sz val="10"/>
        <rFont val="Arial"/>
        <family val="2"/>
      </rPr>
      <t>1c.</t>
    </r>
  </si>
  <si>
    <r>
      <t>MS4 Load Allocation</t>
    </r>
    <r>
      <rPr>
        <b/>
        <vertAlign val="superscript"/>
        <sz val="10"/>
        <rFont val="Arial"/>
        <family val="2"/>
      </rPr>
      <t>1c.</t>
    </r>
  </si>
  <si>
    <r>
      <t>% Reduction</t>
    </r>
    <r>
      <rPr>
        <b/>
        <vertAlign val="superscript"/>
        <sz val="10"/>
        <rFont val="Arial"/>
        <family val="2"/>
      </rPr>
      <t>1c.</t>
    </r>
  </si>
  <si>
    <r>
      <t>MS4 Allocation</t>
    </r>
    <r>
      <rPr>
        <b/>
        <vertAlign val="superscript"/>
        <sz val="10"/>
        <rFont val="Arial"/>
        <family val="2"/>
      </rPr>
      <t>2b.</t>
    </r>
  </si>
  <si>
    <r>
      <t>MS4 Allocation</t>
    </r>
    <r>
      <rPr>
        <b/>
        <vertAlign val="superscript"/>
        <sz val="10"/>
        <rFont val="Arial"/>
        <family val="2"/>
      </rPr>
      <t>2e.</t>
    </r>
  </si>
  <si>
    <t xml:space="preserve"> KENNETT SQUARE BORO  </t>
  </si>
  <si>
    <t xml:space="preserve"> NEW GARDEN TWP </t>
  </si>
  <si>
    <t>White Clay Creek Watershed</t>
  </si>
  <si>
    <r>
      <t xml:space="preserve"> Baseline MS4 Load</t>
    </r>
    <r>
      <rPr>
        <b/>
        <vertAlign val="superscript"/>
        <sz val="10"/>
        <rFont val="Arial"/>
        <family val="2"/>
      </rPr>
      <t>1d.</t>
    </r>
  </si>
  <si>
    <r>
      <t>MS4 Load Allocation</t>
    </r>
    <r>
      <rPr>
        <b/>
        <vertAlign val="superscript"/>
        <sz val="10"/>
        <rFont val="Arial"/>
        <family val="2"/>
      </rPr>
      <t>1d.</t>
    </r>
  </si>
  <si>
    <r>
      <t>% Reduction</t>
    </r>
    <r>
      <rPr>
        <b/>
        <vertAlign val="superscript"/>
        <sz val="10"/>
        <rFont val="Arial"/>
        <family val="2"/>
      </rPr>
      <t>1d.</t>
    </r>
  </si>
  <si>
    <r>
      <t>MS4 Allocation</t>
    </r>
    <r>
      <rPr>
        <b/>
        <vertAlign val="superscript"/>
        <sz val="10"/>
        <rFont val="Arial"/>
        <family val="2"/>
      </rPr>
      <t>2c.</t>
    </r>
  </si>
  <si>
    <r>
      <t xml:space="preserve"> MS4 Allocation</t>
    </r>
    <r>
      <rPr>
        <b/>
        <vertAlign val="superscript"/>
        <sz val="10"/>
        <rFont val="Arial"/>
        <family val="2"/>
      </rPr>
      <t>2f.</t>
    </r>
  </si>
  <si>
    <t xml:space="preserve"> AVONDALE BORO  </t>
  </si>
  <si>
    <t xml:space="preserve"> FRANKLIN TWP  </t>
  </si>
  <si>
    <t xml:space="preserve"> LONDON BRITAIN TWP  </t>
  </si>
  <si>
    <t xml:space="preserve"> LONDON GROVE TWP  </t>
  </si>
  <si>
    <t xml:space="preserve"> NEW LONDON TWP  </t>
  </si>
  <si>
    <t xml:space="preserve"> PENN TWP  </t>
  </si>
  <si>
    <t xml:space="preserve"> WEST GROVE BORO  </t>
  </si>
  <si>
    <t xml:space="preserve">(1)  U.S. EPA Region III. 8 April 2005. Total Maximum Daily Loads for Bacteria and Sediment in the Christina River Basin Watershed Pennsylvania, Delaware, and Maryland. Philadelphia, PA. </t>
  </si>
  <si>
    <t xml:space="preserve">(2)  U.S. EPA Region III. 26 September 2006. Revisions to Total Maximum Daily Loads for Nutrient and Low Dissolved Oxygen under High-flow Conditions: Christina River  Basin Watershed, Pennsylvania, Delaware, and Maryland. Philadelphia, PA. </t>
  </si>
  <si>
    <t xml:space="preserve">           </t>
  </si>
  <si>
    <t>a. Table 4.2 Fecal coliform TMDL allocations for MS4 municipalities. p 4-5</t>
  </si>
  <si>
    <t>a. Appendix C -Table C-5b. Total nitrogen MS4 allocations for Brandywine Creek watershed (kg/day) p. C-6</t>
  </si>
  <si>
    <t>h. Appendix C. Table C-7a. Total nitrogen MS4 baseline loads for Red Clay Creek watershed (kg/day) p. C-8</t>
  </si>
  <si>
    <t>b. Table 4.8 Sediment allocations for towns in Brandywine Creek Watershed. p 4-16</t>
  </si>
  <si>
    <t>b. Appendix C. Table C-7b. Total nitrogen MS4 allocations for Red Clay Creek watershed (kg/day) p. C-9</t>
  </si>
  <si>
    <t>i. Appendix C. Table C-9a. Total nitrogen MS4 baseline loads for White Clay Creek watershed (kg/day) p. C-10</t>
  </si>
  <si>
    <t>c. Table 4.9 Sediment allocations for towns in Red Clay Creek Watershed. p 4-16</t>
  </si>
  <si>
    <t>c. Appendix C. Table C-9b. Total nitrogen MS4 allocations for White Clay Creek watershed (kg/day) p. C-11</t>
  </si>
  <si>
    <t>j. Appendix C. Table C-6a. Total phosphorus MS4 baseline loads for Brandywine Creek watershed (kg/day) p.C-7</t>
  </si>
  <si>
    <t>d. Table 4.10 Preliminary sediment allocations for towns in White Clay Creek Watershed. p 4-16</t>
  </si>
  <si>
    <t>d. Appendix C. Table C-6b. Total phosphorus MS4 allocations for Brandywine Creek watershed (kg/day) p.C-8</t>
  </si>
  <si>
    <t>k. Appendix C. Table C-8a. Total phosphorus MS4 baseline loads for Red Clay Creek watershed (kg/day) p. C-9</t>
  </si>
  <si>
    <t>e. Calculated by CCWRA using Tables listed in 1a.-1d. listed above. MS4   Reduction =  (Baseline MS4 Load) - (MS4 Load Allocation)</t>
  </si>
  <si>
    <t>e. Appendix C. Table C-8b. Total phosphorus MS4 allocations for Red Clay Creek watershed (kg/day) p. C-10</t>
  </si>
  <si>
    <t>l. Appendix C. Table C-10a. Total phosphorus MS4 baseline loads for White Clay Creek watershed (kg/day) p. C-12</t>
  </si>
  <si>
    <t>f. Appendix C. Table C-10b. Total phosphorus MS4 allocations for White Clay Creek watershed (kg/day) p. C-13</t>
  </si>
  <si>
    <t xml:space="preserve">m. Calculated by CCWRA using Tables listed in 2a.-2l. listed above. MS4 Reduction = (MS4 Baseline Load) - (MS4 Allocation); </t>
  </si>
  <si>
    <t>g. Appendix C -Table C-5a. Total nitrogen MS4 baseline loads for Brandywine Creek watershed (kg/day) p. C-5</t>
  </si>
  <si>
    <t>%Reduction = (MS4 Load Reduction) / (MS4 Baseline Load)</t>
  </si>
  <si>
    <t xml:space="preserve">MUNICIPALITIES LISTED IN TMDL REPORTS  </t>
  </si>
  <si>
    <t>Brandywine Creek Watershed</t>
  </si>
  <si>
    <r>
      <t>Baseline MS4 Load</t>
    </r>
    <r>
      <rPr>
        <b/>
        <vertAlign val="superscript"/>
        <sz val="10"/>
        <rFont val="Arial"/>
        <family val="2"/>
      </rPr>
      <t>2g.</t>
    </r>
  </si>
  <si>
    <r>
      <t xml:space="preserve">Baseline MS4 Load </t>
    </r>
    <r>
      <rPr>
        <b/>
        <vertAlign val="superscript"/>
        <sz val="10"/>
        <rFont val="Arial"/>
        <family val="2"/>
      </rPr>
      <t>2j.</t>
    </r>
  </si>
  <si>
    <r>
      <t xml:space="preserve"> Baseline MS4 Load </t>
    </r>
    <r>
      <rPr>
        <b/>
        <vertAlign val="superscript"/>
        <sz val="10"/>
        <rFont val="Arial"/>
        <family val="2"/>
      </rPr>
      <t>2h.</t>
    </r>
  </si>
  <si>
    <r>
      <t xml:space="preserve"> Baseline MS4 Load </t>
    </r>
    <r>
      <rPr>
        <b/>
        <vertAlign val="superscript"/>
        <sz val="10"/>
        <rFont val="Arial"/>
        <family val="2"/>
      </rPr>
      <t>2k.</t>
    </r>
  </si>
  <si>
    <r>
      <t xml:space="preserve">Baseline MS4 Load </t>
    </r>
    <r>
      <rPr>
        <b/>
        <vertAlign val="superscript"/>
        <sz val="10"/>
        <rFont val="Arial"/>
        <family val="2"/>
      </rPr>
      <t>2i.</t>
    </r>
  </si>
  <si>
    <r>
      <t xml:space="preserve"> Baseline MS4 Load </t>
    </r>
    <r>
      <rPr>
        <b/>
        <vertAlign val="superscript"/>
        <sz val="10"/>
        <rFont val="Arial"/>
        <family val="2"/>
      </rPr>
      <t>2l.</t>
    </r>
  </si>
  <si>
    <t>MapShed Land Use Categories</t>
  </si>
  <si>
    <t>TOTAL WATERSHED ANNUAL LOADS
from Christina MapShed</t>
  </si>
  <si>
    <t>Addt'l Sources</t>
  </si>
  <si>
    <r>
      <t xml:space="preserve">From      </t>
    </r>
    <r>
      <rPr>
        <b/>
        <sz val="10"/>
        <color theme="1"/>
        <rFont val="Arial"/>
        <family val="2"/>
      </rPr>
      <t>Farm Animals ②</t>
    </r>
  </si>
  <si>
    <r>
      <t xml:space="preserve">From </t>
    </r>
    <r>
      <rPr>
        <b/>
        <sz val="10"/>
        <color theme="1"/>
        <rFont val="Arial"/>
        <family val="2"/>
      </rPr>
      <t>Stream Banks ①</t>
    </r>
  </si>
  <si>
    <r>
      <t xml:space="preserve">From
</t>
    </r>
    <r>
      <rPr>
        <b/>
        <sz val="10"/>
        <color theme="1"/>
        <rFont val="Arial"/>
        <family val="2"/>
      </rPr>
      <t>Farm Animals ②</t>
    </r>
  </si>
  <si>
    <t>Sum of previous
two sources</t>
  </si>
  <si>
    <t>Sum of previous
three sources</t>
  </si>
  <si>
    <t>Notes:</t>
  </si>
  <si>
    <t>ANNUAL LAND USE LOADING RATES (lbs/acre)
based on land use, stream bank and farm animal sources</t>
  </si>
  <si>
    <t>Step 1. The Farm Animal "Total Nitrogen" and "Total Phosphorus" load, in pounds, and land areas for each land use category, in acres, from the Christina MapShed Output file are presented below.</t>
  </si>
  <si>
    <t>Christina MapShed Total Watershed Load</t>
  </si>
  <si>
    <t>Note: The loads are taken from cells G33 and I33 from the Christina Basin MapShed Output worksheet</t>
  </si>
  <si>
    <t>Step 2. Total Acres in "Hay/Pasture" and "Cropland" land uses are summed.</t>
  </si>
  <si>
    <t>acres      =</t>
  </si>
  <si>
    <r>
      <t xml:space="preserve">Stream Bank </t>
    </r>
    <r>
      <rPr>
        <b/>
        <sz val="10"/>
        <rFont val="Arial"/>
        <family val="2"/>
      </rPr>
      <t>①</t>
    </r>
  </si>
  <si>
    <r>
      <t>From
L</t>
    </r>
    <r>
      <rPr>
        <b/>
        <sz val="10"/>
        <color theme="1"/>
        <rFont val="Arial"/>
        <family val="2"/>
      </rPr>
      <t>and Use</t>
    </r>
  </si>
  <si>
    <t>Area of Hay/Pasture &amp; Cropland</t>
  </si>
  <si>
    <t>Land Use Categories from MapShed ①</t>
  </si>
  <si>
    <t>① - Since only the 'Hay/Pasture' and 'Cropland' land uses are apportioned Farm Loading Rates, the remaining land use categories are not applicable to this worksheet.</t>
  </si>
  <si>
    <t>Step 1. The Stream Bank Sediment Load, in tons, and land areas for each land use category, in acres, are presented below.</t>
  </si>
  <si>
    <t>Note: The sediment load is taken from Cell E35 in the Christina Basin MapShed Output worksheet</t>
  </si>
  <si>
    <t>Total Acres in watershed</t>
  </si>
  <si>
    <r>
      <t xml:space="preserve">Page 2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</si>
  <si>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Step 5. Calculate the portion of the Stream Bank Sediment Load resulting from "Developed" Lands</t>
  </si>
  <si>
    <t>A) 40% x Stream Bank Sediment Load x Percent of Developed Lands</t>
  </si>
  <si>
    <t>B) 60% x Stream Bank Sediment Load</t>
  </si>
  <si>
    <t xml:space="preserve">             =</t>
  </si>
  <si>
    <t>pounds   =</t>
  </si>
  <si>
    <t>Estimated Percent of Impervious Area for corresponding land use categories (MapShed Values)</t>
  </si>
  <si>
    <t>Step 6. Calculate the portion of the Stream Bank Sediment Load from "Developed" Lands that is assigned to each of the land use categories by calculating relative components from "Impervious" surfaces and from the land use as a whole:</t>
  </si>
  <si>
    <t>acres    =</t>
  </si>
  <si>
    <t>Total Developed Impervious Surface Area</t>
  </si>
  <si>
    <t>Step 7. Calculate how many acres within the watershed are "Impervious" by multiplying the acres in Step 4 by the percent in Step 6:</t>
  </si>
  <si>
    <t>Step 8. Calculate the percent of total developed Impervious Surface for each land use:</t>
  </si>
  <si>
    <t xml:space="preserve">         =</t>
  </si>
  <si>
    <t>pounds  =</t>
  </si>
  <si>
    <t>Stream Bank Sediment Load Assigned to Impervious Surface, pounds</t>
  </si>
  <si>
    <t>Stream Bank Sediment Load Assigned to Total Developed Land Area, pounds</t>
  </si>
  <si>
    <t>Step 11. Apportion Load Assigned to Total Land Area to each "Developed" land use category by multiplying</t>
  </si>
  <si>
    <t>Step 12. Combine the loads apportioned to "Impervious" surfaces, from Step 10, and the loads apportioned to Total Developed Land Area, from Step 11:</t>
  </si>
  <si>
    <t>Total Stream Bank Sediment Load per Land Use, pounds</t>
  </si>
  <si>
    <t>Stream Bank
Sediment 
Loading Rate, 
pounds/acre</t>
  </si>
  <si>
    <t>acres  =</t>
  </si>
  <si>
    <t>This is A) 40% of the Stream Bank Sediment Load times the percent of developed lands in the watershed</t>
  </si>
  <si>
    <t>plus B) 60% of the Stream Bank Sediment Load:</t>
  </si>
  <si>
    <r>
      <t>Watershed</t>
    </r>
    <r>
      <rPr>
        <sz val="10"/>
        <color theme="1"/>
        <rFont val="Arial"/>
        <family val="2"/>
      </rPr>
      <t>:</t>
    </r>
  </si>
  <si>
    <t>Step 13. Calculate the Stream Bank Loading Rate for each "Developed" Land Use, in pounds per acre, by dividing the load from Step 12 by the acres in Step 4:</t>
  </si>
  <si>
    <t>Step 14. Calculate the Stream Bank Loading Rate for "Undeveloped Land" (all other land use categories):</t>
  </si>
  <si>
    <r>
      <t xml:space="preserve">From
</t>
    </r>
    <r>
      <rPr>
        <b/>
        <sz val="10"/>
        <color theme="1"/>
        <rFont val="Arial"/>
        <family val="2"/>
      </rPr>
      <t xml:space="preserve">Stream
Banks </t>
    </r>
    <r>
      <rPr>
        <b/>
        <sz val="10"/>
        <color theme="1"/>
        <rFont val="Calibri"/>
        <family val="2"/>
      </rPr>
      <t>①</t>
    </r>
  </si>
  <si>
    <t xml:space="preserve">Christina Basin MapShed Output File Results Converted to Land Use Loading Rates    </t>
  </si>
  <si>
    <t>INSTRUCTIONS:</t>
  </si>
  <si>
    <t xml:space="preserve">Seperate Look-up Tables have been created for 3 Christina Basin watersheds (Brandywine, White Clay or Red Clay) for the years 1995 and 2012. This workbook is one of six workbook files that have been provided; each file contains loading rates for pollutants Sediment, Nitrogen and Phosphorus. </t>
  </si>
  <si>
    <t>Municipalties Do NOT need to enter values into this workbook. This workbook serves as a Look-up Table.</t>
  </si>
  <si>
    <r>
      <rPr>
        <b/>
        <sz val="11"/>
        <color theme="1"/>
        <rFont val="Calibri"/>
        <family val="2"/>
        <scheme val="minor"/>
      </rPr>
      <t>Section 3 (Christina Basin MapShed Output)</t>
    </r>
    <r>
      <rPr>
        <sz val="11"/>
        <color theme="1"/>
        <rFont val="Calibri"/>
        <family val="2"/>
        <scheme val="minor"/>
      </rPr>
      <t xml:space="preserve"> contains the actual Christina MapShed output file data that are used for calculations throughout this workbook. DO NOT USE THESE DATA. This section is for CCWRA Use only. </t>
    </r>
  </si>
  <si>
    <r>
      <rPr>
        <b/>
        <sz val="11"/>
        <color theme="1"/>
        <rFont val="Calibri"/>
        <family val="2"/>
        <scheme val="minor"/>
      </rPr>
      <t xml:space="preserve">Sections 5 through 8 </t>
    </r>
    <r>
      <rPr>
        <sz val="11"/>
        <color theme="1"/>
        <rFont val="Calibri"/>
        <family val="2"/>
        <scheme val="minor"/>
      </rPr>
      <t>Contain supporting documentation that show how the calculations were performed to arrive at the values for the watershed that were presented in the Look-up Table in Section 2.</t>
    </r>
  </si>
  <si>
    <t xml:space="preserve">Christina Basin MapShed Output </t>
  </si>
  <si>
    <t>CHRISTINA BASIN MapShed OUTPUT DATA</t>
  </si>
  <si>
    <t xml:space="preserve">This worksheet calculates and apportions the "Total Nitrogen" and "Total Phosphorus" loading rates from the "Farm Animals" source load from the Christina Basin MapShed Output file into the two applicable agricultural land uses, Hay/Pasture and Cropland, based on area weighting. The methodology was provided by Dr. Barry Evans (Stroud Water Research Center, Pennsylvania State University), the author of MapShed, and with concurrence from Mr. Bill Brown (PADEP).
The MapShed output file provides the Farm Animals "Total Nitrogen" and "Total Phosphorus" loads in pounds.  </t>
  </si>
  <si>
    <t>Step 3. Calculate the unit area Farm Animals loading rate (lbs/ac) to Total Nitrogen and Total Phosphorus for each land use by dividing the Farm Animal Load by the land use acres.</t>
  </si>
  <si>
    <t>Step 4. Add these Farm Animals loading rates to the Land Use (upland) and Stream Bank loading rates for Hay/Pasture and Cropland to calculate the Toal Nitrogen and Total Phosphorus loading rates as shown on the Land Use Loading Rates Look-Up Table.</t>
  </si>
  <si>
    <t>Look-Up Table: Christina Basin MapShed Loading Rates</t>
  </si>
  <si>
    <t>Total Acres, Watershed</t>
  </si>
  <si>
    <t>Section 5: Farm Animals TN and TP Loading Rates Worksheet</t>
  </si>
  <si>
    <t>Section 6: Stream Bank Sediment Loading Rates Worksheet</t>
  </si>
  <si>
    <t>Step 9. Assign 60% of the "Total Load Assigned to Developed Lands", from Step 5, as a result of "Impervious" surfaces, and assign 40% based on the percent of land area in the land use category.</t>
  </si>
  <si>
    <t xml:space="preserve">Step 10. Apportion Load Assigned to "Impervious" surfaces to each "Developed" land use category by </t>
  </si>
  <si>
    <t>Stream Bank Sediment
Land Use Loading Rate</t>
  </si>
  <si>
    <t>Look-Up Table: Christina Basin MapShed Land Use Loading Rates</t>
  </si>
  <si>
    <t>Section 1: Instructions &amp; Overview</t>
  </si>
  <si>
    <t>Section 3:</t>
  </si>
  <si>
    <t>Section 7: Stream Bank Nitrogen Loading Rates Worksheet</t>
  </si>
  <si>
    <t>Step 1. The land areas for each land use category, in acres, are presented below.</t>
  </si>
  <si>
    <t>Step 2. The Stream Bank Total Nitrogen Load, in pounds, is presented below:</t>
  </si>
  <si>
    <t>Total Nitrogen Load, pounds</t>
  </si>
  <si>
    <r>
      <t xml:space="preserve">Page 2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</si>
  <si>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t>This is A) 40% of the Stream Bank Total Nitrogen Load times the percent of developed lands in the watershed</t>
  </si>
  <si>
    <t>plus B) 60% of the Stream Bank Total Nitrogen Load:</t>
  </si>
  <si>
    <t>Stream Bank TN Load</t>
  </si>
  <si>
    <t>Step 5. Calculate the portion of the Stream Bank Total Nitrogen (TN) Load resulting from "Developed" Lands</t>
  </si>
  <si>
    <t>A) 40% x Stream Bank TN Load x Percent of Developed Lands</t>
  </si>
  <si>
    <t>B) 60% x Stream Bank TN Load</t>
  </si>
  <si>
    <t>Step 6. Calculate the portion of the Stream Bank Total Nitrogen Load from "Developed" Lands that is assigned to each of the land use categories by calculating relative components from "Impervious" surfaces and from the land use as a whole:</t>
  </si>
  <si>
    <t>Stream Bank Total Nitrogen Load Assigned to Impervious Surface, pounds</t>
  </si>
  <si>
    <t>Stream Bank Total Nitrogen Load Assigned to Total Developed Land Area, pounds</t>
  </si>
  <si>
    <t>Total Stream Bank Total Nitrogen Load per Land Use, pounds</t>
  </si>
  <si>
    <t>Load assigned to
Developed Lands</t>
  </si>
  <si>
    <t>Stream Bank Total Nitrogen Loading rate for Undeveloped Lands</t>
  </si>
  <si>
    <t>Stream Bank
Total Nitrogen
Loading Rate, 
pounds/acre</t>
  </si>
  <si>
    <t>Stream Bank Total Nitrogen
Land Use Loading Rate</t>
  </si>
  <si>
    <t>Step 2. The Stream Bank Total Phosphorus Load, in pounds, is presented below:</t>
  </si>
  <si>
    <t>Total Phosphorus Load, pounds</t>
  </si>
  <si>
    <t>Step 6. Calculate the portion of the Stream Bank Total Phosphorus Load from "Developed" Lands that is assigned to each of the land use categories by calculating relative components from "Impervious" surfaces and from the land use as a whole:</t>
  </si>
  <si>
    <t>Stream Bank Total Phosphorus Load Assigned to Impervious Surface, pounds</t>
  </si>
  <si>
    <t>Stream Bank Total Phosphorus Load Assigned to Total Developed Land Area, pounds</t>
  </si>
  <si>
    <t>Total Stream Bank Total Phosphorus Load per Land Use, pounds</t>
  </si>
  <si>
    <t>Stream Bank Total Phosphorus
Land Use Loading Rate</t>
  </si>
  <si>
    <t>Stream Bank
Total Phosphorus
Loading Rate, 
pounds/acre</t>
  </si>
  <si>
    <t>Stream Bank Total Phosphorus Loading rate for Undeveloped Lands</t>
  </si>
  <si>
    <t>Stream Bank TP Load</t>
  </si>
  <si>
    <t>Step 5. Calculate the portion of the Stream Bank Total Phosphorus (TP) Load resulting from "Developed" Lands</t>
  </si>
  <si>
    <t>A) 40% x Stream Bank TP Load x Percent of Developed Lands</t>
  </si>
  <si>
    <t>B) 60% x Stream Bank TP Load</t>
  </si>
  <si>
    <r>
      <t xml:space="preserve">Page 2 of Stream Bank </t>
    </r>
    <r>
      <rPr>
        <b/>
        <i/>
        <sz val="10"/>
        <color theme="1"/>
        <rFont val="Arial"/>
        <family val="2"/>
      </rPr>
      <t>Total Phosphorus Loading Rates</t>
    </r>
    <r>
      <rPr>
        <sz val="10"/>
        <color theme="1"/>
        <rFont val="Arial"/>
        <family val="2"/>
      </rPr>
      <t xml:space="preserve"> worksheet</t>
    </r>
  </si>
  <si>
    <r>
      <t xml:space="preserve">Page 3 of Stream Bank </t>
    </r>
    <r>
      <rPr>
        <b/>
        <i/>
        <sz val="10"/>
        <color theme="1"/>
        <rFont val="Arial"/>
        <family val="2"/>
      </rPr>
      <t>Total Phosphorus Loading Rates</t>
    </r>
    <r>
      <rPr>
        <sz val="10"/>
        <color theme="1"/>
        <rFont val="Arial"/>
        <family val="2"/>
      </rPr>
      <t xml:space="preserve"> worksheet</t>
    </r>
  </si>
  <si>
    <r>
      <t xml:space="preserve">Page 4 of Stream Bank </t>
    </r>
    <r>
      <rPr>
        <b/>
        <i/>
        <sz val="10"/>
        <color theme="1"/>
        <rFont val="Arial"/>
        <family val="2"/>
      </rPr>
      <t>Total Phosphorus Loading Rates</t>
    </r>
    <r>
      <rPr>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</si>
  <si>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</si>
  <si>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Total Nitrogen Loading Rates</t>
    </r>
    <r>
      <rPr>
        <i/>
        <sz val="10"/>
        <color theme="1"/>
        <rFont val="Arial"/>
        <family val="2"/>
      </rPr>
      <t xml:space="preserve"> worksheet</t>
    </r>
  </si>
  <si>
    <r>
      <t xml:space="preserve">Page 4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</si>
  <si>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r>
      <t xml:space="preserve">Page 3 of </t>
    </r>
    <r>
      <rPr>
        <i/>
        <sz val="10"/>
        <color theme="1"/>
        <rFont val="Arial"/>
        <family val="2"/>
      </rPr>
      <t xml:space="preserve">Stream Bank </t>
    </r>
    <r>
      <rPr>
        <b/>
        <i/>
        <sz val="10"/>
        <color theme="1"/>
        <rFont val="Arial"/>
        <family val="2"/>
      </rPr>
      <t>Sediment Loading Rates</t>
    </r>
    <r>
      <rPr>
        <i/>
        <sz val="10"/>
        <color theme="1"/>
        <rFont val="Arial"/>
        <family val="2"/>
      </rPr>
      <t xml:space="preserve"> worksheet</t>
    </r>
  </si>
  <si>
    <t>This is A) 40% of the Stream Bank Total Phosphorus Load times the percent of developed lands in the</t>
  </si>
  <si>
    <t>watershed plus B) 60% of the Stream Bank Total Phosphorus Load:</t>
  </si>
  <si>
    <t>Section 8: Stream Bank Phosphorus Loading Rates Worksheet</t>
  </si>
  <si>
    <t>Christina Basin Land Use Loading Rates Calculation Tool</t>
  </si>
  <si>
    <t>prepared by:</t>
  </si>
  <si>
    <t>Chester County Water Resources Authority (CCWRA)</t>
  </si>
  <si>
    <t>in consultation with:</t>
  </si>
  <si>
    <t>Barry Evans, Ph.D., Pennsylvania State University</t>
  </si>
  <si>
    <t>and</t>
  </si>
  <si>
    <t>Bill Brown, PA Department of Environmental Protection (PADEP)</t>
  </si>
  <si>
    <t>________________________</t>
  </si>
  <si>
    <t>On behalf of the Christina Watersheds Municipal Partnership, the Chester County Water Resources Authority gratefully acknowledges the assistance provided to this effort by Dr. Barry Evans (Pennsylvania State University) and Mr. Bill Brown, PA Department of Environmental Protection.</t>
  </si>
  <si>
    <t>Pennsylvania State University by</t>
  </si>
  <si>
    <t>PA Department of Environmental Protection</t>
  </si>
  <si>
    <t>Municipalities are to use the Look-Up Table provided herein and copy the loading rates for the applicable watershed, applicable year, and applicable pollutants and use those values in their further calculations. The intention is that the municipality prints out each workbook for the years 1995 and 2012 for each watershed located in their Planning Area(s). It is suggested that these workbooks be placed in an appendix in their PA DEP MS4 submittal as documentation of the source of the loading rates they used in their plans and calculations.</t>
  </si>
  <si>
    <r>
      <t xml:space="preserve">Section 2 (Land Use Loading Rates Look-Up Table) </t>
    </r>
    <r>
      <rPr>
        <sz val="11"/>
        <color theme="1"/>
        <rFont val="Calibri"/>
        <family val="2"/>
        <scheme val="minor"/>
      </rPr>
      <t xml:space="preserve">contains the Look-Up Table with final Christina MapShed land use loading rates that incorporate Land Use (upland source), Stream Bank (erosion) and Farm Animal Loads. </t>
    </r>
    <r>
      <rPr>
        <b/>
        <sz val="11"/>
        <color theme="1"/>
        <rFont val="Calibri"/>
        <family val="2"/>
        <scheme val="minor"/>
      </rPr>
      <t xml:space="preserve">The bolded Total (pollutant) Loading Rate values in this Table are to be used by municipalities to calculate their Baseline and Existing loads and urban BMP load reductions. The "From Land Use" values in this Table are to be used to calculate street sweeping load reductions. </t>
    </r>
  </si>
  <si>
    <r>
      <rPr>
        <b/>
        <sz val="11"/>
        <color theme="1"/>
        <rFont val="Calibri"/>
        <family val="2"/>
        <scheme val="minor"/>
      </rPr>
      <t>*</t>
    </r>
    <r>
      <rPr>
        <sz val="11"/>
        <color theme="1"/>
        <rFont val="Calibri"/>
        <family val="2"/>
        <scheme val="minor"/>
      </rPr>
      <t xml:space="preserve"> In the MapShed model, Stream Bank and Farm Animal loads are modeled as separate sources/outputs, and therefore must be apportioned into the land use loads. This calculation has been completed herein and the results are summarized on the Look-up Table. Stream Bank loads are mostly attributable to developed lands. Farm Animal loads are attributed to Cropland and Hay/Pasture land uses.</t>
    </r>
  </si>
  <si>
    <r>
      <rPr>
        <b/>
        <sz val="11"/>
        <color theme="1"/>
        <rFont val="Calibri"/>
        <family val="2"/>
        <scheme val="minor"/>
      </rPr>
      <t xml:space="preserve">* </t>
    </r>
    <r>
      <rPr>
        <sz val="11"/>
        <color theme="1"/>
        <rFont val="Calibri"/>
        <family val="2"/>
        <scheme val="minor"/>
      </rPr>
      <t>The Look-Up Table also shows loads calculated by the Christina MapShed model from septic, groundwater and point sources, however, per PA DEP guidance, these loads are NOT included in the land use loading rates presented in the Table. These loads are not loads that enter the MS4 and therefore these loads are not a pollutant load that is required to be addressed in the MS4 program. Please note, when comparing the nitrogen and phosphorus loading rates to other literature values for a watershed, the rates in this workbook may appear lower by land use for nutrients because of these adjustments. Groundwater loading of nitrogen and phosphorus are generally attributed to long-term agricultural practices.</t>
    </r>
  </si>
  <si>
    <t>Section 2: Land Use Loading Rates Look-Up Table</t>
  </si>
  <si>
    <r>
      <rPr>
        <b/>
        <sz val="11"/>
        <color theme="1"/>
        <rFont val="Calibri"/>
        <family val="2"/>
        <scheme val="minor"/>
      </rPr>
      <t xml:space="preserve">Section 4 (Map) </t>
    </r>
    <r>
      <rPr>
        <sz val="11"/>
        <color theme="1"/>
        <rFont val="Calibri"/>
        <family val="2"/>
        <scheme val="minor"/>
      </rPr>
      <t>Contains a Map of Chester County's portion of the Christina Basin watershed.</t>
    </r>
  </si>
  <si>
    <t xml:space="preserve">This page is where the output data from Christina Basin MapShed model is entered into this workbook and is the source data for calculations throughout the workbook. DO NOT USE OR CHANGE THE VALUES BELOW. 
For use by CCWRA only.
Instructions followed by Chester County Water Resources Authority staff: Enter the data below from the MapShed output file without any modifications. Only enter data in the cells shaded blue.
1. Source File Name - filename for the output file from Christina Basin Version of MapShed.
2. Watershed Name - Name of Watershed for which land use loading rates were calculated (Brandywine Creek, White Clay Creek and Red Clay Creek).
3. Source file - The annual pollutant data, in English Units, is copied directly from the Christina Basin MapShed output file to the table below. 
4. Year - the year modeled.
</t>
  </si>
  <si>
    <t>Section 4: Map of Chester County's portion of the Christina Basin Watersheds</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</si>
  <si>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</si>
  <si>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9. Assign 60% of the "Total Load Assigned to Developed Lands", from Step 5, as a result of "Impervious" surfaces, and assign 40% based on the percent of land area in the land use category:</t>
  </si>
  <si>
    <r>
      <rPr>
        <b/>
        <sz val="11"/>
        <color theme="1"/>
        <rFont val="Calibri"/>
        <family val="2"/>
        <scheme val="minor"/>
      </rPr>
      <t>Section 9</t>
    </r>
    <r>
      <rPr>
        <sz val="11"/>
        <color theme="1"/>
        <rFont val="Calibri"/>
        <family val="2"/>
        <scheme val="minor"/>
      </rPr>
      <t xml:space="preserve">  Contains a table that presents EPA Christina TMDL Baseline Pollutant Loadings, MS4 Wasteload Allocations, and required volume and Percent Reductions for each municipality by watershed. These data were taken from the tables in the EPA TMDL reports by Chester County Water Resources Authority in 2012.</t>
    </r>
  </si>
  <si>
    <t>Step 15. Add these Stream Bank Sediment Land Use Loading Rates to the Land Use (upland source) Loading Rates for each of the corresponding land uses in the Land Use Loading Rates Look-Up Table to calculate the Total Sediment Loading Rate.</t>
  </si>
  <si>
    <t>Step 4. Calculate the total acres in the watershed that are considered "Developed," which includes Low Density Mixed (Ld_Mixed),  Medium Density Mixed (Md_Mixed), High Density Mixed (Hd_Mixed); and Low Density Residential (Ld_Residential), Medium Density Residential (Md_Residential), and High Density Residential (Hd_Residential):</t>
  </si>
  <si>
    <t>Step 15. Add these Stream Bank Total Nitrogen Land Use Loading Rates to the Land Use (upland source) and Farm Animals Loading Rates for each of the corresponding land uses in the Land Use Loading Rates Look-Up Table to calculate the final Total Nitrogen Loading Rate.</t>
  </si>
  <si>
    <t>Step 15. Add these Stream Bank Total Phosphorus Land Use Loading Rates to the Land Use (upland source) and Farm Animals Loading Rates for each of the corresponding land uses in the Land Use Loading Rates Look-Up Table to calculate the final Total Phosphorus Loading Rate.</t>
  </si>
  <si>
    <t>Step 9. Assign 60% of the "Total Load Assigned to Developed Lands", (from Step 5), as a result of "Impervious" surfaces, and assign 40% based on the percent of land area in the land use category.</t>
  </si>
  <si>
    <t xml:space="preserve">Brandywine-Christina Watershed (HUC # 02040205)
EPA TMDL MS4 Baseline Pollutant Loadings, MS4 Allocations, and Reductions
</t>
  </si>
  <si>
    <t>The Christina Basin MapShed model and the methodology used herein to calcute Chrsitina MapShed Land Use Loading Rates were developed by Chester County Water Resources Authority in conjunction with and direction from Dr. Barry Evans (Penn State) and Bill Brown (PADEP).</t>
  </si>
  <si>
    <r>
      <t xml:space="preserve">① - Separate worksheets are used to calculate and apportion the loading rates from the </t>
    </r>
    <r>
      <rPr>
        <b/>
        <sz val="10"/>
        <color theme="1"/>
        <rFont val="Arial"/>
        <family val="2"/>
      </rPr>
      <t>Stream Bank</t>
    </r>
    <r>
      <rPr>
        <sz val="10"/>
        <color theme="1"/>
        <rFont val="Arial"/>
        <family val="2"/>
      </rPr>
      <t xml:space="preserve"> source loads (for sediment, total nitrogen, and total phosphorus) from the Christina MapShed Output file into each land use category, using methodology provided from Dr. Barry Evans (Pennsylvania State University), the author of MapShed, and with concurrence from Mr. Bill Brown (PADEP).</t>
    </r>
  </si>
  <si>
    <r>
      <t xml:space="preserve">② - A separate worksheet is used to calculate and apportion the "Total Nitrogen" and "Total Phosphorus" loading rates from the </t>
    </r>
    <r>
      <rPr>
        <b/>
        <sz val="10"/>
        <color theme="1"/>
        <rFont val="Arial"/>
        <family val="2"/>
      </rPr>
      <t>Farm Animals</t>
    </r>
    <r>
      <rPr>
        <sz val="10"/>
        <color theme="1"/>
        <rFont val="Arial"/>
        <family val="2"/>
      </rPr>
      <t xml:space="preserve"> source load from the Christina Basin MapShed Output file into the two agricultural land uses, Hay/Pasture and Cropland, based on area weighting. The methodology was provided by Dr. Barry Evans (Pennsylvania State University), the author of MapShed, and with concurrence from Mr. Bill Brown (PADEP). Additionally, since the </t>
    </r>
    <r>
      <rPr>
        <b/>
        <sz val="10"/>
        <color theme="1"/>
        <rFont val="Arial"/>
        <family val="2"/>
      </rPr>
      <t>Farm Animals</t>
    </r>
    <r>
      <rPr>
        <sz val="10"/>
        <color theme="1"/>
        <rFont val="Arial"/>
        <family val="2"/>
      </rPr>
      <t xml:space="preserve"> source loads do not apply to other land use catergories, the values in those cells are "n/a".</t>
    </r>
  </si>
  <si>
    <t>This worksheet calculates and apportions the loading rates from the Stream Bank source load for sediment from the Christina MapShed Output file into each land use category, using methodology provided from Dr. Barry Evans (Pennsylvania State University), the author of MapShed, and with concurrence from Mr. Bill Brown (PADEP).
The MapShed output file provides the sediment load in tons, which are converted to pounds to be consistent with the loading rates for Total Nitrogen and Total Phosphorus.</t>
  </si>
  <si>
    <t>This worksheet calculates and apportions the loading rates from the Stream Bank source load for Total Nitrogen from the Christina MapShed Output file into each land use category, using methodology provided from Dr. Barry Evans (Pennsylvania State University), the author of MapShed, and with concurrence from Mr. Bill Brown (PADEP).
The MapShed output file provides the nitrogen load in pounds.</t>
  </si>
  <si>
    <t>This worksheet calculates and apportions the loading rates from the Stream Bank source load for Total Phosphorus from the Christina MapShed Output file into each land use category, using methodology provided from Dr. Barry Evans (Pennsylvania State University), the author of MapShed, and with concurrence from Mr. Bill Brown (PADEP).
The MapShed output file provides the Phosphorus load in pounds.</t>
  </si>
  <si>
    <t>PURPOSE AND LIMITATIONS:  This Excel workbook tool was developed for use by municipalities that have MS4 discharges and load reduction responsibilities within the PA portion of the Christina Basin. This tool calculates land use pollutant loading rates for TSS, TN and TP using calculations, methodology, assumptions, and data based on and consistent with the desktop Christina Basin MapShed model, and consistent with PADEP’s 2017 TMDL and PRP instructions for MS4s. This tool is not recommended for use in other geographic areas or with other load calculation methodologies, or other land use load data. The desktop Christina Basin MapShed model was developed by CCWRA (2012, revised 2017) in conjunction with Dr. Barry Evans (Pennsylvania State University) and in consultation with Mr. Bill Brown (PADEP).</t>
  </si>
  <si>
    <t>Funding to provide technical assistance for this Calculation Tool  was made available to:</t>
  </si>
  <si>
    <t>Chester County Water Resources Authority by</t>
  </si>
  <si>
    <t xml:space="preserve">        Chester County Board of Commissioners</t>
  </si>
  <si>
    <t>Partial Funding for the Christina Watersheds Municipal Partnership and the Brandywine/Christina Water Quality Restoration Collaboration Effort was made available through:</t>
  </si>
  <si>
    <t>Brandywine Red Clay Alliance by</t>
  </si>
  <si>
    <t>National Fish and Wildlife Foundation</t>
  </si>
  <si>
    <t>Year: 2012</t>
  </si>
  <si>
    <t>Red Clay</t>
  </si>
  <si>
    <t>2012RCnewrun_noatten-Summary_sum.csv</t>
  </si>
  <si>
    <t>Watershed: Red Clay Creek</t>
  </si>
  <si>
    <t>Original Publication Date: May 5, 2017</t>
  </si>
  <si>
    <t>CORRECTED Publication Date: May 12,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</si>
</sst>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_);_(* \(#,##0\);_(* &quot;-&quot;??_);_(@_)"/>
    <numFmt numFmtId="166" formatCode="#,##0.00000"/>
    <numFmt numFmtId="167" formatCode="_(* #,##0.0_);_(* \(#,##0.0\);_(* &quot;-&quot;??_);_(@_)"/>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i/>
      <sz val="10"/>
      <color theme="1"/>
      <name val="Arial"/>
      <family val="2"/>
    </font>
    <font>
      <sz val="10"/>
      <name val="Arial"/>
      <family val="2"/>
    </font>
    <font>
      <sz val="6"/>
      <color theme="1"/>
      <name val="Arial"/>
      <family val="2"/>
    </font>
    <font>
      <b/>
      <sz val="10"/>
      <name val="Arial"/>
      <family val="2"/>
    </font>
    <font>
      <b/>
      <sz val="12"/>
      <color theme="1"/>
      <name val="Arial"/>
      <family val="2"/>
    </font>
    <font>
      <b/>
      <sz val="14"/>
      <color theme="1"/>
      <name val="Arial"/>
      <family val="2"/>
    </font>
    <font>
      <u/>
      <sz val="10"/>
      <color theme="1"/>
      <name val="Arial"/>
      <family val="2"/>
    </font>
    <font>
      <sz val="10"/>
      <color rgb="FFC00000"/>
      <name val="Arial"/>
      <family val="2"/>
    </font>
    <font>
      <sz val="7"/>
      <color theme="1"/>
      <name val="Arial"/>
      <family val="2"/>
    </font>
    <font>
      <b/>
      <sz val="7"/>
      <color theme="1"/>
      <name val="Arial"/>
      <family val="2"/>
    </font>
    <font>
      <b/>
      <sz val="11"/>
      <color theme="1"/>
      <name val="Arial"/>
      <family val="2"/>
    </font>
    <font>
      <sz val="14"/>
      <color theme="1"/>
      <name val="Arial"/>
      <family val="2"/>
    </font>
    <font>
      <sz val="9"/>
      <color theme="1"/>
      <name val="Arial"/>
      <family val="2"/>
    </font>
    <font>
      <sz val="12"/>
      <color theme="1"/>
      <name val="Arial"/>
      <family val="2"/>
    </font>
    <font>
      <b/>
      <i/>
      <sz val="10"/>
      <color theme="1"/>
      <name val="Arial"/>
      <family val="2"/>
    </font>
    <font>
      <b/>
      <u/>
      <sz val="12"/>
      <color theme="1"/>
      <name val="Arial"/>
      <family val="2"/>
    </font>
    <font>
      <b/>
      <i/>
      <sz val="12"/>
      <color theme="1"/>
      <name val="Arial"/>
      <family val="2"/>
    </font>
    <font>
      <b/>
      <sz val="9"/>
      <color theme="1"/>
      <name val="Arial"/>
      <family val="2"/>
    </font>
    <font>
      <b/>
      <sz val="14"/>
      <color theme="1"/>
      <name val="Calibri"/>
      <family val="2"/>
      <scheme val="minor"/>
    </font>
    <font>
      <sz val="6.5"/>
      <color theme="1"/>
      <name val="Arial"/>
      <family val="2"/>
    </font>
    <font>
      <sz val="8.5"/>
      <color theme="1"/>
      <name val="Arial"/>
      <family val="2"/>
    </font>
    <font>
      <b/>
      <sz val="14"/>
      <name val="Arial"/>
      <family val="2"/>
    </font>
    <font>
      <b/>
      <sz val="12"/>
      <name val="Arial"/>
      <family val="2"/>
    </font>
    <font>
      <b/>
      <vertAlign val="superscript"/>
      <sz val="10"/>
      <name val="Arial"/>
      <family val="2"/>
    </font>
    <font>
      <sz val="7"/>
      <name val="Arial"/>
      <family val="2"/>
    </font>
    <font>
      <b/>
      <sz val="10"/>
      <color theme="1"/>
      <name val="Calibri"/>
      <family val="2"/>
    </font>
    <font>
      <sz val="9"/>
      <name val="Arial"/>
      <family val="2"/>
    </font>
    <font>
      <b/>
      <sz val="9.5"/>
      <name val="Arial"/>
      <family val="2"/>
    </font>
    <font>
      <sz val="9.5"/>
      <color theme="1"/>
      <name val="Arial"/>
      <family val="2"/>
    </font>
    <font>
      <sz val="8"/>
      <color theme="1"/>
      <name val="Arial"/>
      <family val="2"/>
    </font>
    <font>
      <sz val="7.5"/>
      <color theme="1"/>
      <name val="Arial"/>
      <family val="2"/>
    </font>
    <font>
      <b/>
      <sz val="18"/>
      <color theme="1"/>
      <name val="Calibri"/>
      <family val="2"/>
      <scheme val="minor"/>
    </font>
    <font>
      <i/>
      <sz val="11"/>
      <color theme="1"/>
      <name val="Calibri"/>
      <family val="2"/>
      <scheme val="minor"/>
    </font>
    <font>
      <b/>
      <i/>
      <sz val="12"/>
      <color theme="1"/>
      <name val="Calibri"/>
      <family val="2"/>
      <scheme val="minor"/>
    </font>
    <font>
      <b/>
      <i/>
      <sz val="11"/>
      <color theme="1"/>
      <name val="Calibri"/>
      <family val="2"/>
      <scheme val="minor"/>
    </font>
    <font>
      <sz val="14"/>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4" tint="0.79998168889431442"/>
        <bgColor theme="4" tint="0.79998168889431442"/>
      </patternFill>
    </fill>
    <fill>
      <patternFill patternType="solid">
        <fgColor indexed="9"/>
        <bgColor indexed="64"/>
      </patternFill>
    </fill>
    <fill>
      <patternFill patternType="solid">
        <fgColor indexed="42"/>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hair">
        <color indexed="55"/>
      </bottom>
      <diagonal/>
    </border>
    <border>
      <left/>
      <right/>
      <top style="medium">
        <color indexed="64"/>
      </top>
      <bottom style="hair">
        <color indexed="55"/>
      </bottom>
      <diagonal/>
    </border>
    <border>
      <left/>
      <right style="medium">
        <color indexed="64"/>
      </right>
      <top style="medium">
        <color indexed="64"/>
      </top>
      <bottom style="hair">
        <color indexed="55"/>
      </bottom>
      <diagonal/>
    </border>
    <border>
      <left style="hair">
        <color indexed="55"/>
      </left>
      <right style="hair">
        <color indexed="55"/>
      </right>
      <top/>
      <bottom style="thin">
        <color indexed="64"/>
      </bottom>
      <diagonal/>
    </border>
    <border>
      <left/>
      <right style="hair">
        <color indexed="64"/>
      </right>
      <top style="hair">
        <color indexed="55"/>
      </top>
      <bottom style="thin">
        <color indexed="64"/>
      </bottom>
      <diagonal/>
    </border>
    <border>
      <left/>
      <right style="medium">
        <color indexed="64"/>
      </right>
      <top style="hair">
        <color indexed="55"/>
      </top>
      <bottom style="thin">
        <color indexed="64"/>
      </bottom>
      <diagonal/>
    </border>
    <border>
      <left style="medium">
        <color indexed="64"/>
      </left>
      <right/>
      <top/>
      <bottom style="thin">
        <color indexed="55"/>
      </bottom>
      <diagonal/>
    </border>
    <border>
      <left style="dotted">
        <color indexed="55"/>
      </left>
      <right style="dotted">
        <color indexed="55"/>
      </right>
      <top/>
      <bottom style="thin">
        <color indexed="55"/>
      </bottom>
      <diagonal/>
    </border>
    <border>
      <left/>
      <right style="hair">
        <color indexed="64"/>
      </right>
      <top/>
      <bottom style="thin">
        <color indexed="55"/>
      </bottom>
      <diagonal/>
    </border>
    <border>
      <left/>
      <right style="medium">
        <color indexed="64"/>
      </right>
      <top/>
      <bottom style="thin">
        <color indexed="55"/>
      </bottom>
      <diagonal/>
    </border>
    <border>
      <left style="hair">
        <color indexed="55"/>
      </left>
      <right style="hair">
        <color indexed="55"/>
      </right>
      <top/>
      <bottom style="thin">
        <color indexed="55"/>
      </bottom>
      <diagonal/>
    </border>
    <border>
      <left style="hair">
        <color indexed="55"/>
      </left>
      <right style="hair">
        <color indexed="64"/>
      </right>
      <top/>
      <bottom style="thin">
        <color indexed="55"/>
      </bottom>
      <diagonal/>
    </border>
    <border>
      <left/>
      <right/>
      <top/>
      <bottom style="thin">
        <color indexed="55"/>
      </bottom>
      <diagonal/>
    </border>
    <border>
      <left style="hair">
        <color indexed="55"/>
      </left>
      <right style="hair">
        <color indexed="64"/>
      </right>
      <top style="thin">
        <color indexed="64"/>
      </top>
      <bottom style="thin">
        <color indexed="55"/>
      </bottom>
      <diagonal/>
    </border>
    <border>
      <left style="medium">
        <color indexed="64"/>
      </left>
      <right/>
      <top style="thin">
        <color indexed="55"/>
      </top>
      <bottom style="thin">
        <color indexed="55"/>
      </bottom>
      <diagonal/>
    </border>
    <border>
      <left style="dotted">
        <color indexed="55"/>
      </left>
      <right style="dotted">
        <color indexed="55"/>
      </right>
      <top style="thin">
        <color indexed="55"/>
      </top>
      <bottom style="thin">
        <color indexed="55"/>
      </bottom>
      <diagonal/>
    </border>
    <border>
      <left/>
      <right style="hair">
        <color indexed="64"/>
      </right>
      <top style="thin">
        <color indexed="55"/>
      </top>
      <bottom style="thin">
        <color indexed="55"/>
      </bottom>
      <diagonal/>
    </border>
    <border>
      <left/>
      <right style="medium">
        <color indexed="64"/>
      </right>
      <top style="thin">
        <color indexed="55"/>
      </top>
      <bottom style="thin">
        <color indexed="55"/>
      </bottom>
      <diagonal/>
    </border>
    <border>
      <left style="hair">
        <color indexed="55"/>
      </left>
      <right style="hair">
        <color indexed="55"/>
      </right>
      <top style="thin">
        <color indexed="55"/>
      </top>
      <bottom style="thin">
        <color indexed="55"/>
      </bottom>
      <diagonal/>
    </border>
    <border>
      <left/>
      <right/>
      <top style="thin">
        <color indexed="55"/>
      </top>
      <bottom style="thin">
        <color indexed="55"/>
      </bottom>
      <diagonal/>
    </border>
    <border>
      <left style="medium">
        <color indexed="64"/>
      </left>
      <right style="dotted">
        <color indexed="55"/>
      </right>
      <top style="thin">
        <color indexed="55"/>
      </top>
      <bottom style="thin">
        <color indexed="55"/>
      </bottom>
      <diagonal/>
    </border>
    <border>
      <left style="dotted">
        <color indexed="55"/>
      </left>
      <right style="dotted">
        <color indexed="55"/>
      </right>
      <top/>
      <bottom style="medium">
        <color indexed="64"/>
      </bottom>
      <diagonal/>
    </border>
    <border>
      <left/>
      <right style="hair">
        <color indexed="64"/>
      </right>
      <top/>
      <bottom style="medium">
        <color indexed="64"/>
      </bottom>
      <diagonal/>
    </border>
    <border>
      <left style="hair">
        <color indexed="55"/>
      </left>
      <right style="hair">
        <color indexed="55"/>
      </right>
      <top/>
      <bottom style="medium">
        <color indexed="64"/>
      </bottom>
      <diagonal/>
    </border>
    <border>
      <left style="hair">
        <color indexed="55"/>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55"/>
      </left>
      <right style="hair">
        <color indexed="55"/>
      </right>
      <top style="hair">
        <color indexed="55"/>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style="thin">
        <color indexed="55"/>
      </top>
      <bottom style="hair">
        <color indexed="64"/>
      </bottom>
      <diagonal/>
    </border>
    <border>
      <left style="hair">
        <color indexed="55"/>
      </left>
      <right style="hair">
        <color indexed="55"/>
      </right>
      <top style="thin">
        <color indexed="55"/>
      </top>
      <bottom style="hair">
        <color indexed="64"/>
      </bottom>
      <diagonal/>
    </border>
    <border>
      <left/>
      <right style="medium">
        <color indexed="64"/>
      </right>
      <top style="thin">
        <color indexed="55"/>
      </top>
      <bottom style="hair">
        <color indexed="64"/>
      </bottom>
      <diagonal/>
    </border>
    <border>
      <left style="thin">
        <color theme="1" tint="0.24994659260841701"/>
      </left>
      <right/>
      <top/>
      <bottom style="thin">
        <color indexed="64"/>
      </bottom>
      <diagonal/>
    </border>
    <border>
      <left/>
      <right style="thin">
        <color theme="1" tint="0.24994659260841701"/>
      </right>
      <top/>
      <bottom style="medium">
        <color indexed="64"/>
      </bottom>
      <diagonal/>
    </border>
    <border>
      <left style="thin">
        <color theme="1" tint="0.24994659260841701"/>
      </left>
      <right/>
      <top/>
      <bottom style="medium">
        <color indexed="64"/>
      </bottom>
      <diagonal/>
    </border>
    <border>
      <left style="thin">
        <color theme="1" tint="0.24994659260841701"/>
      </left>
      <right style="thin">
        <color theme="1" tint="0.24994659260841701"/>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theme="1" tint="0.24994659260841701"/>
      </bottom>
      <diagonal/>
    </border>
    <border>
      <left style="medium">
        <color indexed="64"/>
      </left>
      <right style="medium">
        <color indexed="64"/>
      </right>
      <top style="thin">
        <color theme="1" tint="0.24994659260841701"/>
      </top>
      <bottom style="thin">
        <color theme="1" tint="0.24994659260841701"/>
      </bottom>
      <diagonal/>
    </border>
    <border>
      <left style="medium">
        <color indexed="64"/>
      </left>
      <right style="medium">
        <color indexed="64"/>
      </right>
      <top style="thin">
        <color theme="1" tint="0.24994659260841701"/>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dashDot">
        <color theme="1" tint="0.24994659260841701"/>
      </left>
      <right style="dashDot">
        <color theme="1" tint="0.24994659260841701"/>
      </right>
      <top style="dashDot">
        <color theme="1" tint="0.24994659260841701"/>
      </top>
      <bottom style="thin">
        <color theme="1" tint="0.24994659260841701"/>
      </bottom>
      <diagonal/>
    </border>
    <border>
      <left style="dashDot">
        <color theme="1" tint="0.24994659260841701"/>
      </left>
      <right style="dashDot">
        <color theme="1" tint="0.24994659260841701"/>
      </right>
      <top style="thin">
        <color theme="1" tint="0.24994659260841701"/>
      </top>
      <bottom style="thin">
        <color theme="1" tint="0.24994659260841701"/>
      </bottom>
      <diagonal/>
    </border>
    <border>
      <left style="dashDot">
        <color theme="1" tint="0.24994659260841701"/>
      </left>
      <right style="dashDot">
        <color theme="1" tint="0.24994659260841701"/>
      </right>
      <top/>
      <bottom/>
      <diagonal/>
    </border>
    <border>
      <left style="dashDot">
        <color theme="1" tint="0.24994659260841701"/>
      </left>
      <right style="dashDot">
        <color theme="1" tint="0.24994659260841701"/>
      </right>
      <top/>
      <bottom style="dashDot">
        <color theme="1" tint="0.24994659260841701"/>
      </bottom>
      <diagonal/>
    </border>
    <border>
      <left style="dashDot">
        <color theme="1" tint="0.24994659260841701"/>
      </left>
      <right style="dashDot">
        <color theme="1" tint="0.24994659260841701"/>
      </right>
      <top style="thin">
        <color theme="1" tint="0.24994659260841701"/>
      </top>
      <bottom/>
      <diagonal/>
    </border>
    <border>
      <left style="dashDot">
        <color theme="1" tint="0.24994659260841701"/>
      </left>
      <right style="dashDot">
        <color theme="1" tint="0.24994659260841701"/>
      </right>
      <top style="thin">
        <color indexed="64"/>
      </top>
      <bottom/>
      <diagonal/>
    </border>
    <border>
      <left style="thin">
        <color theme="1" tint="0.24994659260841701"/>
      </left>
      <right style="thin">
        <color indexed="64"/>
      </right>
      <top style="thin">
        <color indexed="64"/>
      </top>
      <bottom/>
      <diagonal/>
    </border>
    <border>
      <left style="thin">
        <color theme="1" tint="0.24994659260841701"/>
      </left>
      <right style="thin">
        <color indexed="64"/>
      </right>
      <top/>
      <bottom/>
      <diagonal/>
    </border>
    <border>
      <left style="thin">
        <color theme="1" tint="0.24994659260841701"/>
      </left>
      <right style="thin">
        <color indexed="64"/>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9" fontId="21" fillId="0" borderId="0" applyFont="0" applyFill="0" applyBorder="0" applyAlignment="0" applyProtection="0"/>
  </cellStyleXfs>
  <cellXfs count="453">
    <xf numFmtId="0" fontId="0" fillId="0" borderId="0" xfId="0"/>
    <xf numFmtId="0" fontId="18" fillId="0" borderId="0" xfId="0" applyFont="1"/>
    <xf numFmtId="4" fontId="18" fillId="0" borderId="13" xfId="0" applyNumberFormat="1" applyFont="1" applyFill="1" applyBorder="1"/>
    <xf numFmtId="4" fontId="18" fillId="0" borderId="14" xfId="0" applyNumberFormat="1" applyFont="1" applyFill="1" applyBorder="1"/>
    <xf numFmtId="0" fontId="18" fillId="0" borderId="0" xfId="0" applyFont="1" applyFill="1"/>
    <xf numFmtId="0" fontId="18" fillId="33" borderId="0" xfId="0" applyFont="1" applyFill="1"/>
    <xf numFmtId="0" fontId="19" fillId="0" borderId="0" xfId="0" applyFont="1" applyAlignment="1">
      <alignment horizontal="right"/>
    </xf>
    <xf numFmtId="0" fontId="19" fillId="0" borderId="0" xfId="0" applyFont="1" applyFill="1" applyAlignment="1">
      <alignment horizontal="right"/>
    </xf>
    <xf numFmtId="164" fontId="18" fillId="0" borderId="0" xfId="0" applyNumberFormat="1" applyFont="1" applyFill="1" applyBorder="1"/>
    <xf numFmtId="0" fontId="19" fillId="0" borderId="0" xfId="0" applyFont="1" applyBorder="1" applyAlignment="1">
      <alignment horizontal="center"/>
    </xf>
    <xf numFmtId="0" fontId="18" fillId="0" borderId="0" xfId="0" applyFont="1" applyAlignment="1">
      <alignment wrapText="1"/>
    </xf>
    <xf numFmtId="164" fontId="21" fillId="0" borderId="0" xfId="0" applyNumberFormat="1" applyFont="1" applyFill="1" applyBorder="1"/>
    <xf numFmtId="4" fontId="21" fillId="0" borderId="0" xfId="0" applyNumberFormat="1" applyFont="1" applyFill="1" applyBorder="1"/>
    <xf numFmtId="0" fontId="18" fillId="0" borderId="0" xfId="0" applyFont="1" applyBorder="1" applyAlignment="1">
      <alignment wrapText="1"/>
    </xf>
    <xf numFmtId="0" fontId="18" fillId="0" borderId="0" xfId="0" applyFont="1" applyBorder="1"/>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5" xfId="0" applyFont="1" applyFill="1" applyBorder="1" applyAlignment="1">
      <alignment vertical="center" wrapText="1"/>
    </xf>
    <xf numFmtId="0" fontId="20" fillId="0" borderId="23"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8" fillId="0" borderId="20" xfId="0" applyFont="1" applyBorder="1"/>
    <xf numFmtId="0" fontId="18" fillId="0" borderId="25" xfId="0" applyFont="1" applyBorder="1"/>
    <xf numFmtId="0" fontId="18" fillId="0" borderId="28" xfId="0" applyFont="1" applyFill="1" applyBorder="1"/>
    <xf numFmtId="0" fontId="19" fillId="0" borderId="15" xfId="0" applyFont="1" applyFill="1" applyBorder="1" applyAlignment="1">
      <alignment wrapText="1"/>
    </xf>
    <xf numFmtId="164" fontId="18" fillId="0" borderId="19" xfId="0" applyNumberFormat="1" applyFont="1" applyFill="1" applyBorder="1"/>
    <xf numFmtId="164" fontId="18" fillId="0" borderId="20" xfId="0" applyNumberFormat="1" applyFont="1" applyFill="1" applyBorder="1"/>
    <xf numFmtId="0" fontId="18" fillId="0" borderId="26" xfId="0" applyFont="1" applyBorder="1"/>
    <xf numFmtId="0" fontId="18" fillId="0" borderId="17" xfId="0" applyFont="1" applyBorder="1" applyAlignment="1">
      <alignment horizontal="center" wrapText="1"/>
    </xf>
    <xf numFmtId="4" fontId="21" fillId="34" borderId="25" xfId="0" applyNumberFormat="1" applyFont="1" applyFill="1" applyBorder="1" applyAlignment="1">
      <alignment horizontal="right" indent="1"/>
    </xf>
    <xf numFmtId="4" fontId="21" fillId="0" borderId="0" xfId="0" applyNumberFormat="1" applyFont="1" applyBorder="1" applyAlignment="1">
      <alignment horizontal="right" indent="1"/>
    </xf>
    <xf numFmtId="0" fontId="22" fillId="0" borderId="20" xfId="0" quotePrefix="1" applyFont="1" applyBorder="1" applyAlignment="1">
      <alignment vertical="center" wrapText="1"/>
    </xf>
    <xf numFmtId="0" fontId="20" fillId="0" borderId="19" xfId="0" applyFont="1" applyFill="1" applyBorder="1" applyAlignment="1">
      <alignment vertical="center" wrapText="1"/>
    </xf>
    <xf numFmtId="164" fontId="21" fillId="0" borderId="23" xfId="0" applyNumberFormat="1" applyFont="1" applyBorder="1"/>
    <xf numFmtId="164" fontId="21" fillId="34" borderId="23" xfId="0" applyNumberFormat="1" applyFont="1" applyFill="1" applyBorder="1"/>
    <xf numFmtId="0" fontId="19" fillId="0" borderId="0" xfId="0" applyFont="1"/>
    <xf numFmtId="0" fontId="24" fillId="0" borderId="0" xfId="0" applyFont="1"/>
    <xf numFmtId="0" fontId="27" fillId="0" borderId="0" xfId="0" applyFont="1"/>
    <xf numFmtId="3" fontId="18" fillId="0" borderId="0" xfId="0" applyNumberFormat="1" applyFont="1"/>
    <xf numFmtId="4" fontId="27" fillId="0" borderId="0" xfId="0" applyNumberFormat="1" applyFont="1" applyFill="1" applyBorder="1" applyAlignment="1">
      <alignment wrapText="1"/>
    </xf>
    <xf numFmtId="3" fontId="27" fillId="0" borderId="0" xfId="0" applyNumberFormat="1" applyFont="1"/>
    <xf numFmtId="4" fontId="19" fillId="0" borderId="0" xfId="0" applyNumberFormat="1" applyFont="1" applyFill="1" applyBorder="1" applyAlignment="1">
      <alignment wrapText="1"/>
    </xf>
    <xf numFmtId="0" fontId="18" fillId="0" borderId="30" xfId="0" applyFont="1" applyBorder="1"/>
    <xf numFmtId="9" fontId="18" fillId="0" borderId="0" xfId="0" applyNumberFormat="1" applyFont="1"/>
    <xf numFmtId="9" fontId="18" fillId="0" borderId="0" xfId="43" applyFont="1"/>
    <xf numFmtId="0" fontId="18" fillId="0" borderId="0" xfId="0" quotePrefix="1" applyFont="1"/>
    <xf numFmtId="165" fontId="18" fillId="0" borderId="0" xfId="42" applyNumberFormat="1" applyFont="1"/>
    <xf numFmtId="165" fontId="18" fillId="0" borderId="0" xfId="0" applyNumberFormat="1" applyFont="1"/>
    <xf numFmtId="165" fontId="27" fillId="0" borderId="0" xfId="0" applyNumberFormat="1" applyFont="1"/>
    <xf numFmtId="0" fontId="24" fillId="0" borderId="0" xfId="0" applyFont="1" applyAlignment="1">
      <alignment horizontal="left"/>
    </xf>
    <xf numFmtId="0" fontId="19" fillId="0" borderId="30" xfId="0" applyFont="1" applyBorder="1"/>
    <xf numFmtId="4" fontId="21" fillId="0" borderId="23" xfId="0" applyNumberFormat="1" applyFont="1" applyBorder="1"/>
    <xf numFmtId="4" fontId="21" fillId="34" borderId="23" xfId="0" applyNumberFormat="1" applyFont="1" applyFill="1" applyBorder="1"/>
    <xf numFmtId="0" fontId="21" fillId="0" borderId="0" xfId="0" applyFont="1"/>
    <xf numFmtId="4" fontId="19" fillId="0" borderId="30" xfId="0" applyNumberFormat="1" applyFont="1" applyBorder="1" applyAlignment="1">
      <alignment wrapText="1"/>
    </xf>
    <xf numFmtId="4" fontId="19" fillId="0" borderId="30" xfId="0" applyNumberFormat="1" applyFont="1" applyBorder="1" applyAlignment="1">
      <alignment horizontal="right" wrapText="1"/>
    </xf>
    <xf numFmtId="4" fontId="21" fillId="0" borderId="0" xfId="0" applyNumberFormat="1"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indent="1"/>
    </xf>
    <xf numFmtId="0" fontId="21" fillId="0" borderId="0" xfId="0" applyFont="1" applyFill="1" applyBorder="1"/>
    <xf numFmtId="9" fontId="18" fillId="0" borderId="0" xfId="43" applyFont="1" applyAlignment="1">
      <alignment horizontal="right" indent="1"/>
    </xf>
    <xf numFmtId="3" fontId="21" fillId="0" borderId="0" xfId="0" applyNumberFormat="1" applyFont="1" applyAlignment="1">
      <alignment horizontal="right" indent="2"/>
    </xf>
    <xf numFmtId="0" fontId="27" fillId="0" borderId="0" xfId="0" applyFont="1" applyBorder="1" applyAlignment="1">
      <alignment wrapText="1"/>
    </xf>
    <xf numFmtId="0" fontId="20" fillId="0" borderId="30" xfId="0" applyFont="1" applyBorder="1" applyAlignment="1">
      <alignment horizontal="center"/>
    </xf>
    <xf numFmtId="0" fontId="21" fillId="0" borderId="30" xfId="0" applyFont="1" applyBorder="1"/>
    <xf numFmtId="0" fontId="19" fillId="0" borderId="0" xfId="0" applyFont="1" applyAlignment="1">
      <alignment wrapText="1"/>
    </xf>
    <xf numFmtId="0" fontId="18" fillId="0" borderId="0" xfId="0" applyFont="1" applyAlignment="1">
      <alignment vertical="top" wrapText="1"/>
    </xf>
    <xf numFmtId="0" fontId="19" fillId="0" borderId="30" xfId="0" applyFont="1" applyBorder="1" applyAlignment="1">
      <alignment horizontal="center" wrapText="1"/>
    </xf>
    <xf numFmtId="164" fontId="21" fillId="34" borderId="23" xfId="0" quotePrefix="1" applyNumberFormat="1" applyFont="1" applyFill="1" applyBorder="1"/>
    <xf numFmtId="4" fontId="21" fillId="0" borderId="0" xfId="0" quotePrefix="1" applyNumberFormat="1" applyFont="1" applyFill="1" applyBorder="1" applyAlignment="1">
      <alignment wrapText="1"/>
    </xf>
    <xf numFmtId="164" fontId="21" fillId="0" borderId="23" xfId="0" quotePrefix="1" applyNumberFormat="1" applyFont="1" applyBorder="1"/>
    <xf numFmtId="4" fontId="21" fillId="0" borderId="0" xfId="0" applyNumberFormat="1" applyFont="1" applyBorder="1"/>
    <xf numFmtId="166" fontId="18" fillId="0" borderId="0" xfId="0" applyNumberFormat="1" applyFont="1"/>
    <xf numFmtId="4" fontId="21" fillId="34" borderId="0" xfId="0" applyNumberFormat="1" applyFont="1" applyFill="1" applyBorder="1" applyAlignment="1">
      <alignment horizontal="right" indent="2"/>
    </xf>
    <xf numFmtId="4" fontId="21" fillId="0" borderId="0" xfId="0" applyNumberFormat="1" applyFont="1" applyBorder="1" applyAlignment="1">
      <alignment horizontal="right" indent="2"/>
    </xf>
    <xf numFmtId="4" fontId="21" fillId="0" borderId="30" xfId="0" applyNumberFormat="1" applyFont="1" applyBorder="1" applyAlignment="1">
      <alignment horizontal="right" indent="2"/>
    </xf>
    <xf numFmtId="4" fontId="21" fillId="34" borderId="0" xfId="0" applyNumberFormat="1" applyFont="1" applyFill="1" applyBorder="1" applyAlignment="1">
      <alignment horizontal="right" indent="1"/>
    </xf>
    <xf numFmtId="4" fontId="21" fillId="0" borderId="17" xfId="0" applyNumberFormat="1" applyFont="1" applyBorder="1" applyAlignment="1">
      <alignment horizontal="right" indent="1"/>
    </xf>
    <xf numFmtId="1" fontId="18" fillId="0" borderId="0" xfId="0" applyNumberFormat="1" applyFont="1"/>
    <xf numFmtId="0" fontId="28" fillId="0" borderId="0" xfId="0" applyFont="1"/>
    <xf numFmtId="1" fontId="28" fillId="0" borderId="0" xfId="0" applyNumberFormat="1" applyFont="1"/>
    <xf numFmtId="1" fontId="22" fillId="0" borderId="0" xfId="0" applyNumberFormat="1" applyFont="1"/>
    <xf numFmtId="0" fontId="29" fillId="0" borderId="0" xfId="0" applyFont="1"/>
    <xf numFmtId="0" fontId="26" fillId="0" borderId="0" xfId="0" applyFont="1"/>
    <xf numFmtId="0" fontId="30" fillId="0" borderId="0" xfId="0" quotePrefix="1" applyFont="1"/>
    <xf numFmtId="4" fontId="21" fillId="34" borderId="23" xfId="0" applyNumberFormat="1" applyFont="1" applyFill="1" applyBorder="1" applyAlignment="1">
      <alignment horizontal="right" indent="1"/>
    </xf>
    <xf numFmtId="4" fontId="21" fillId="0" borderId="23" xfId="0" applyNumberFormat="1" applyFont="1" applyBorder="1" applyAlignment="1">
      <alignment horizontal="right" indent="1"/>
    </xf>
    <xf numFmtId="0" fontId="18" fillId="0" borderId="0" xfId="0" applyFont="1" applyAlignment="1">
      <alignment vertical="center"/>
    </xf>
    <xf numFmtId="164" fontId="18" fillId="0" borderId="25" xfId="0" applyNumberFormat="1" applyFont="1" applyFill="1" applyBorder="1" applyAlignment="1">
      <alignment vertical="center"/>
    </xf>
    <xf numFmtId="0" fontId="31" fillId="0" borderId="0" xfId="0" applyFont="1"/>
    <xf numFmtId="0" fontId="18" fillId="33" borderId="0" xfId="0" applyFont="1" applyFill="1" applyAlignment="1">
      <alignment horizontal="left"/>
    </xf>
    <xf numFmtId="2" fontId="18" fillId="0" borderId="0" xfId="0" applyNumberFormat="1" applyFont="1"/>
    <xf numFmtId="2" fontId="19" fillId="0" borderId="0" xfId="0" applyNumberFormat="1" applyFont="1"/>
    <xf numFmtId="4" fontId="21" fillId="0" borderId="23" xfId="0" applyNumberFormat="1" applyFont="1" applyFill="1" applyBorder="1"/>
    <xf numFmtId="0" fontId="33" fillId="0" borderId="0" xfId="0" applyFont="1"/>
    <xf numFmtId="0" fontId="32" fillId="0" borderId="0" xfId="0" applyFont="1"/>
    <xf numFmtId="0" fontId="25" fillId="0" borderId="0" xfId="0" applyFont="1"/>
    <xf numFmtId="0" fontId="25" fillId="0" borderId="0" xfId="0" applyFont="1" applyFill="1"/>
    <xf numFmtId="0" fontId="34" fillId="0" borderId="0" xfId="0" applyFont="1"/>
    <xf numFmtId="4" fontId="21" fillId="34" borderId="0" xfId="0" applyNumberFormat="1" applyFont="1" applyFill="1" applyBorder="1"/>
    <xf numFmtId="4" fontId="21" fillId="0" borderId="0" xfId="0" applyNumberFormat="1" applyFont="1"/>
    <xf numFmtId="167" fontId="18" fillId="0" borderId="0" xfId="0" applyNumberFormat="1" applyFont="1"/>
    <xf numFmtId="43" fontId="18" fillId="0" borderId="0" xfId="42" applyNumberFormat="1" applyFont="1" applyAlignment="1">
      <alignment horizontal="right"/>
    </xf>
    <xf numFmtId="43" fontId="18" fillId="0" borderId="0" xfId="0" applyNumberFormat="1" applyFont="1"/>
    <xf numFmtId="43" fontId="18" fillId="0" borderId="0" xfId="42" applyNumberFormat="1" applyFont="1"/>
    <xf numFmtId="43" fontId="21" fillId="0" borderId="0" xfId="42" applyNumberFormat="1" applyFont="1"/>
    <xf numFmtId="4" fontId="18" fillId="0" borderId="0" xfId="0" applyNumberFormat="1" applyFont="1"/>
    <xf numFmtId="43" fontId="18" fillId="0" borderId="30" xfId="0" applyNumberFormat="1" applyFont="1" applyBorder="1"/>
    <xf numFmtId="0" fontId="18" fillId="0" borderId="0" xfId="0" applyFont="1" applyAlignment="1">
      <alignment horizontal="right"/>
    </xf>
    <xf numFmtId="0" fontId="18" fillId="0" borderId="20" xfId="0" applyFont="1" applyBorder="1" applyAlignment="1">
      <alignment horizontal="right"/>
    </xf>
    <xf numFmtId="0" fontId="18" fillId="0" borderId="20" xfId="0" applyFont="1" applyBorder="1" applyAlignment="1">
      <alignment horizontal="center"/>
    </xf>
    <xf numFmtId="0" fontId="16" fillId="0" borderId="0" xfId="0" applyFont="1"/>
    <xf numFmtId="0" fontId="16" fillId="0" borderId="0" xfId="0" applyFont="1" applyAlignment="1"/>
    <xf numFmtId="0" fontId="0" fillId="0" borderId="0" xfId="0" applyAlignment="1">
      <alignment wrapText="1"/>
    </xf>
    <xf numFmtId="0" fontId="0" fillId="0" borderId="0" xfId="0" applyAlignment="1"/>
    <xf numFmtId="0" fontId="16" fillId="0" borderId="0" xfId="0" applyFont="1" applyAlignment="1">
      <alignment wrapText="1"/>
    </xf>
    <xf numFmtId="0" fontId="38" fillId="0" borderId="0" xfId="0" applyFont="1" applyAlignment="1">
      <alignment horizontal="left" wrapText="1"/>
    </xf>
    <xf numFmtId="1" fontId="39" fillId="0" borderId="0" xfId="0" applyNumberFormat="1" applyFont="1"/>
    <xf numFmtId="0" fontId="39" fillId="0" borderId="0" xfId="0" applyFont="1"/>
    <xf numFmtId="1" fontId="39" fillId="0" borderId="0" xfId="0" applyNumberFormat="1" applyFont="1" applyFill="1"/>
    <xf numFmtId="0" fontId="23" fillId="36" borderId="42" xfId="44" applyFont="1" applyFill="1" applyBorder="1" applyAlignment="1">
      <alignment horizontal="center" vertical="top" wrapText="1"/>
    </xf>
    <xf numFmtId="0" fontId="0" fillId="0" borderId="0" xfId="0"/>
    <xf numFmtId="0" fontId="42" fillId="35" borderId="0" xfId="44" applyFont="1" applyFill="1" applyBorder="1" applyAlignment="1">
      <alignment horizontal="center"/>
    </xf>
    <xf numFmtId="0" fontId="23" fillId="36" borderId="43" xfId="44" applyFont="1" applyFill="1" applyBorder="1" applyAlignment="1">
      <alignment horizontal="center" wrapText="1"/>
    </xf>
    <xf numFmtId="0" fontId="23" fillId="36" borderId="51" xfId="44" applyFont="1" applyFill="1" applyBorder="1" applyAlignment="1">
      <alignment horizontal="center" wrapText="1"/>
    </xf>
    <xf numFmtId="0" fontId="23" fillId="36" borderId="45" xfId="44" applyFont="1" applyFill="1" applyBorder="1" applyAlignment="1">
      <alignment horizontal="center"/>
    </xf>
    <xf numFmtId="0" fontId="23" fillId="36" borderId="50" xfId="44" applyFont="1" applyFill="1" applyBorder="1" applyAlignment="1">
      <alignment horizontal="center" wrapText="1"/>
    </xf>
    <xf numFmtId="0" fontId="23" fillId="36" borderId="52" xfId="44" applyFont="1" applyFill="1" applyBorder="1" applyAlignment="1">
      <alignment horizontal="center"/>
    </xf>
    <xf numFmtId="0" fontId="23" fillId="36" borderId="30" xfId="44" applyFont="1" applyFill="1" applyBorder="1" applyAlignment="1">
      <alignment horizontal="center" wrapText="1"/>
    </xf>
    <xf numFmtId="0" fontId="21" fillId="35" borderId="53" xfId="44" applyFill="1" applyBorder="1"/>
    <xf numFmtId="2" fontId="21" fillId="35" borderId="53" xfId="44" applyNumberFormat="1" applyFill="1" applyBorder="1"/>
    <xf numFmtId="0" fontId="21" fillId="35" borderId="54" xfId="44" applyNumberFormat="1" applyFill="1" applyBorder="1" applyAlignment="1">
      <alignment horizontal="right"/>
    </xf>
    <xf numFmtId="2" fontId="21" fillId="35" borderId="55" xfId="44" applyNumberFormat="1" applyFill="1" applyBorder="1" applyAlignment="1">
      <alignment horizontal="right"/>
    </xf>
    <xf numFmtId="10" fontId="0" fillId="35" borderId="56" xfId="45" applyNumberFormat="1" applyFont="1" applyFill="1" applyBorder="1" applyAlignment="1">
      <alignment horizontal="right"/>
    </xf>
    <xf numFmtId="0" fontId="21" fillId="35" borderId="53" xfId="44" applyFont="1" applyFill="1" applyBorder="1"/>
    <xf numFmtId="0" fontId="21" fillId="35" borderId="57" xfId="44" applyFont="1" applyFill="1" applyBorder="1"/>
    <xf numFmtId="0" fontId="21" fillId="35" borderId="58" xfId="44" applyFont="1" applyFill="1" applyBorder="1"/>
    <xf numFmtId="0" fontId="21" fillId="35" borderId="56" xfId="44" applyFont="1" applyFill="1" applyBorder="1"/>
    <xf numFmtId="0" fontId="21" fillId="35" borderId="59" xfId="44" applyFont="1" applyFill="1" applyBorder="1"/>
    <xf numFmtId="0" fontId="21" fillId="35" borderId="60" xfId="44" applyFont="1" applyFill="1" applyBorder="1"/>
    <xf numFmtId="2" fontId="21" fillId="35" borderId="53" xfId="44" applyNumberFormat="1" applyFont="1" applyFill="1" applyBorder="1"/>
    <xf numFmtId="0" fontId="21" fillId="35" borderId="57" xfId="44" applyNumberFormat="1" applyFont="1" applyFill="1" applyBorder="1"/>
    <xf numFmtId="2" fontId="21" fillId="35" borderId="58" xfId="44" applyNumberFormat="1" applyFont="1" applyFill="1" applyBorder="1"/>
    <xf numFmtId="10" fontId="21" fillId="35" borderId="56" xfId="45" applyNumberFormat="1" applyFont="1" applyFill="1" applyBorder="1"/>
    <xf numFmtId="0" fontId="21" fillId="35" borderId="59" xfId="44" applyNumberFormat="1" applyFont="1" applyFill="1" applyBorder="1"/>
    <xf numFmtId="10" fontId="21" fillId="35" borderId="56" xfId="44" applyNumberFormat="1" applyFont="1" applyFill="1" applyBorder="1"/>
    <xf numFmtId="2" fontId="21" fillId="35" borderId="61" xfId="44" applyNumberFormat="1" applyFill="1" applyBorder="1"/>
    <xf numFmtId="0" fontId="21" fillId="35" borderId="62" xfId="44" applyNumberFormat="1" applyFill="1" applyBorder="1" applyAlignment="1">
      <alignment horizontal="right"/>
    </xf>
    <xf numFmtId="0" fontId="21" fillId="35" borderId="63" xfId="44" applyNumberFormat="1" applyFill="1" applyBorder="1" applyAlignment="1">
      <alignment horizontal="right"/>
    </xf>
    <xf numFmtId="0" fontId="21" fillId="35" borderId="64" xfId="44" applyFill="1" applyBorder="1"/>
    <xf numFmtId="0" fontId="21" fillId="35" borderId="61" xfId="44" applyFill="1" applyBorder="1"/>
    <xf numFmtId="0" fontId="21" fillId="35" borderId="65" xfId="44" applyNumberFormat="1" applyFont="1" applyFill="1" applyBorder="1"/>
    <xf numFmtId="0" fontId="21" fillId="35" borderId="66" xfId="44" applyNumberFormat="1" applyFont="1" applyFill="1" applyBorder="1"/>
    <xf numFmtId="0" fontId="21" fillId="35" borderId="65" xfId="44" applyFont="1" applyFill="1" applyBorder="1"/>
    <xf numFmtId="10" fontId="21" fillId="35" borderId="64" xfId="44" applyNumberFormat="1" applyFont="1" applyFill="1" applyBorder="1"/>
    <xf numFmtId="2" fontId="21" fillId="35" borderId="61" xfId="44" applyNumberFormat="1" applyFont="1" applyFill="1" applyBorder="1"/>
    <xf numFmtId="2" fontId="21" fillId="35" borderId="44" xfId="44" applyNumberFormat="1" applyFill="1" applyBorder="1"/>
    <xf numFmtId="0" fontId="21" fillId="35" borderId="66" xfId="44" applyFont="1" applyFill="1" applyBorder="1"/>
    <xf numFmtId="2" fontId="21" fillId="35" borderId="67" xfId="44" applyNumberFormat="1" applyFill="1" applyBorder="1"/>
    <xf numFmtId="0" fontId="21" fillId="35" borderId="46" xfId="44" applyFill="1" applyBorder="1"/>
    <xf numFmtId="2" fontId="21" fillId="35" borderId="46" xfId="44" applyNumberFormat="1" applyFill="1" applyBorder="1"/>
    <xf numFmtId="0" fontId="21" fillId="35" borderId="68" xfId="44" applyNumberFormat="1" applyFill="1" applyBorder="1" applyAlignment="1">
      <alignment horizontal="right"/>
    </xf>
    <xf numFmtId="2" fontId="21" fillId="35" borderId="69" xfId="44" applyNumberFormat="1" applyFill="1" applyBorder="1" applyAlignment="1">
      <alignment horizontal="right"/>
    </xf>
    <xf numFmtId="10" fontId="0" fillId="35" borderId="12" xfId="45" applyNumberFormat="1" applyFont="1" applyFill="1" applyBorder="1" applyAlignment="1">
      <alignment horizontal="right"/>
    </xf>
    <xf numFmtId="0" fontId="21" fillId="35" borderId="70" xfId="44" applyFont="1" applyFill="1" applyBorder="1"/>
    <xf numFmtId="0" fontId="21" fillId="35" borderId="71" xfId="44" applyFont="1" applyFill="1" applyBorder="1"/>
    <xf numFmtId="0" fontId="21" fillId="35" borderId="12" xfId="44" applyFont="1" applyFill="1" applyBorder="1"/>
    <xf numFmtId="0" fontId="21" fillId="35" borderId="10" xfId="44" applyFont="1" applyFill="1" applyBorder="1"/>
    <xf numFmtId="0" fontId="21" fillId="35" borderId="0" xfId="44" applyFill="1" applyBorder="1"/>
    <xf numFmtId="0" fontId="21" fillId="35" borderId="0" xfId="44" applyNumberFormat="1" applyFill="1" applyBorder="1" applyAlignment="1">
      <alignment horizontal="right"/>
    </xf>
    <xf numFmtId="0" fontId="21" fillId="35" borderId="0" xfId="44" applyFont="1" applyFill="1" applyBorder="1"/>
    <xf numFmtId="0" fontId="21" fillId="36" borderId="42" xfId="44" applyFill="1" applyBorder="1"/>
    <xf numFmtId="0" fontId="23" fillId="36" borderId="43" xfId="44" applyFont="1" applyFill="1" applyBorder="1" applyAlignment="1">
      <alignment horizontal="center"/>
    </xf>
    <xf numFmtId="0" fontId="23" fillId="36" borderId="75" xfId="44" applyFont="1" applyFill="1" applyBorder="1" applyAlignment="1">
      <alignment horizontal="center" wrapText="1"/>
    </xf>
    <xf numFmtId="4" fontId="21" fillId="35" borderId="57" xfId="44" applyNumberFormat="1" applyFill="1" applyBorder="1"/>
    <xf numFmtId="10" fontId="21" fillId="35" borderId="56" xfId="44" applyNumberFormat="1" applyFill="1" applyBorder="1"/>
    <xf numFmtId="0" fontId="21" fillId="35" borderId="57" xfId="44" applyFill="1" applyBorder="1"/>
    <xf numFmtId="0" fontId="21" fillId="35" borderId="58" xfId="44" applyFill="1" applyBorder="1"/>
    <xf numFmtId="10" fontId="21" fillId="35" borderId="11" xfId="44" applyNumberFormat="1" applyFill="1" applyBorder="1"/>
    <xf numFmtId="4" fontId="21" fillId="35" borderId="65" xfId="44" applyNumberFormat="1" applyFill="1" applyBorder="1"/>
    <xf numFmtId="10" fontId="21" fillId="35" borderId="64" xfId="44" applyNumberFormat="1" applyFill="1" applyBorder="1"/>
    <xf numFmtId="0" fontId="21" fillId="35" borderId="65" xfId="44" applyFill="1" applyBorder="1"/>
    <xf numFmtId="0" fontId="21" fillId="35" borderId="70" xfId="44" applyFill="1" applyBorder="1"/>
    <xf numFmtId="0" fontId="21" fillId="35" borderId="12" xfId="44" applyFill="1" applyBorder="1"/>
    <xf numFmtId="2" fontId="21" fillId="35" borderId="71" xfId="44" applyNumberFormat="1" applyFill="1" applyBorder="1"/>
    <xf numFmtId="10" fontId="21" fillId="35" borderId="12" xfId="44" applyNumberFormat="1" applyFill="1" applyBorder="1"/>
    <xf numFmtId="0" fontId="21" fillId="35" borderId="42" xfId="44" applyFill="1" applyBorder="1"/>
    <xf numFmtId="0" fontId="21" fillId="35" borderId="76" xfId="44" applyFill="1" applyBorder="1"/>
    <xf numFmtId="0" fontId="21" fillId="35" borderId="40" xfId="44" applyFill="1" applyBorder="1"/>
    <xf numFmtId="0" fontId="21" fillId="35" borderId="77" xfId="44" applyFill="1" applyBorder="1"/>
    <xf numFmtId="0" fontId="21" fillId="35" borderId="40" xfId="44" applyNumberFormat="1" applyFill="1" applyBorder="1"/>
    <xf numFmtId="0" fontId="21" fillId="35" borderId="41" xfId="44" applyNumberFormat="1" applyFill="1" applyBorder="1"/>
    <xf numFmtId="0" fontId="21" fillId="35" borderId="57" xfId="44" applyFill="1" applyBorder="1" applyAlignment="1">
      <alignment wrapText="1"/>
    </xf>
    <xf numFmtId="0" fontId="21" fillId="35" borderId="65" xfId="44" applyFill="1" applyBorder="1" applyAlignment="1">
      <alignment wrapText="1"/>
    </xf>
    <xf numFmtId="2" fontId="21" fillId="35" borderId="58" xfId="44" applyNumberFormat="1" applyFill="1" applyBorder="1"/>
    <xf numFmtId="0" fontId="21" fillId="35" borderId="78" xfId="44" applyFill="1" applyBorder="1"/>
    <xf numFmtId="0" fontId="21" fillId="35" borderId="79" xfId="44" applyFill="1" applyBorder="1" applyAlignment="1">
      <alignment wrapText="1"/>
    </xf>
    <xf numFmtId="10" fontId="21" fillId="35" borderId="80" xfId="44" applyNumberFormat="1" applyFill="1" applyBorder="1"/>
    <xf numFmtId="4" fontId="21" fillId="35" borderId="70" xfId="44" applyNumberFormat="1" applyFill="1" applyBorder="1"/>
    <xf numFmtId="0" fontId="21" fillId="35" borderId="71" xfId="44" applyFill="1" applyBorder="1"/>
    <xf numFmtId="4" fontId="21" fillId="35" borderId="0" xfId="44" applyNumberFormat="1" applyFill="1" applyBorder="1"/>
    <xf numFmtId="0" fontId="21" fillId="35" borderId="0" xfId="44" applyNumberFormat="1" applyFill="1"/>
    <xf numFmtId="0" fontId="21" fillId="35" borderId="0" xfId="44" applyFill="1" applyAlignment="1"/>
    <xf numFmtId="0" fontId="44" fillId="35" borderId="0" xfId="44" applyFont="1" applyFill="1" applyAlignment="1">
      <alignment horizontal="left" wrapText="1"/>
    </xf>
    <xf numFmtId="0" fontId="44" fillId="35" borderId="0" xfId="44" applyFont="1" applyFill="1" applyAlignment="1">
      <alignment horizontal="left"/>
    </xf>
    <xf numFmtId="0" fontId="44" fillId="35" borderId="0" xfId="44" applyFont="1" applyFill="1" applyAlignment="1"/>
    <xf numFmtId="0" fontId="44" fillId="35" borderId="0" xfId="44" applyFont="1" applyFill="1"/>
    <xf numFmtId="0" fontId="44" fillId="35" borderId="0" xfId="44" applyFont="1" applyFill="1" applyAlignment="1">
      <alignment vertical="center" wrapText="1"/>
    </xf>
    <xf numFmtId="0" fontId="21" fillId="0" borderId="53" xfId="44" applyFill="1" applyBorder="1"/>
    <xf numFmtId="2" fontId="21" fillId="0" borderId="53" xfId="44" applyNumberFormat="1" applyFill="1" applyBorder="1"/>
    <xf numFmtId="0" fontId="21" fillId="0" borderId="54" xfId="44" applyNumberFormat="1" applyFill="1" applyBorder="1" applyAlignment="1">
      <alignment horizontal="right"/>
    </xf>
    <xf numFmtId="2" fontId="21" fillId="0" borderId="55" xfId="44" applyNumberFormat="1" applyFill="1" applyBorder="1" applyAlignment="1">
      <alignment horizontal="right"/>
    </xf>
    <xf numFmtId="10" fontId="0" fillId="0" borderId="56" xfId="45" applyNumberFormat="1" applyFont="1" applyFill="1" applyBorder="1" applyAlignment="1">
      <alignment horizontal="right"/>
    </xf>
    <xf numFmtId="2" fontId="21" fillId="0" borderId="53" xfId="44" applyNumberFormat="1" applyFont="1" applyFill="1" applyBorder="1"/>
    <xf numFmtId="0" fontId="21" fillId="0" borderId="57" xfId="44" applyFont="1" applyFill="1" applyBorder="1"/>
    <xf numFmtId="2" fontId="21" fillId="0" borderId="58" xfId="44" applyNumberFormat="1" applyFont="1" applyFill="1" applyBorder="1"/>
    <xf numFmtId="10" fontId="21" fillId="0" borderId="56" xfId="45" applyNumberFormat="1" applyFont="1" applyFill="1" applyBorder="1"/>
    <xf numFmtId="0" fontId="21" fillId="0" borderId="59" xfId="44" applyFont="1" applyFill="1" applyBorder="1"/>
    <xf numFmtId="0" fontId="21" fillId="0" borderId="58" xfId="44" applyFont="1" applyFill="1" applyBorder="1"/>
    <xf numFmtId="10" fontId="21" fillId="0" borderId="56" xfId="44" applyNumberFormat="1" applyFont="1" applyFill="1" applyBorder="1"/>
    <xf numFmtId="0" fontId="21" fillId="0" borderId="57" xfId="44" applyNumberFormat="1" applyFont="1" applyFill="1" applyBorder="1"/>
    <xf numFmtId="0" fontId="21" fillId="0" borderId="59" xfId="44" applyNumberFormat="1" applyFont="1" applyFill="1" applyBorder="1"/>
    <xf numFmtId="0" fontId="19" fillId="0" borderId="23" xfId="0" applyFont="1" applyFill="1" applyBorder="1" applyAlignment="1">
      <alignment wrapText="1"/>
    </xf>
    <xf numFmtId="0" fontId="19" fillId="0" borderId="24" xfId="0" applyFont="1" applyFill="1" applyBorder="1" applyAlignment="1">
      <alignment horizontal="center" wrapText="1"/>
    </xf>
    <xf numFmtId="0" fontId="19" fillId="0" borderId="17" xfId="0" applyFont="1" applyFill="1" applyBorder="1" applyAlignment="1">
      <alignment horizontal="center" wrapText="1"/>
    </xf>
    <xf numFmtId="0" fontId="19" fillId="0" borderId="18" xfId="0" applyFont="1" applyFill="1" applyBorder="1" applyAlignment="1">
      <alignment horizontal="center" wrapText="1"/>
    </xf>
    <xf numFmtId="0" fontId="24" fillId="0" borderId="0" xfId="0" applyFont="1" applyAlignment="1">
      <alignment wrapText="1"/>
    </xf>
    <xf numFmtId="0" fontId="21" fillId="0" borderId="0" xfId="0" quotePrefix="1" applyFont="1"/>
    <xf numFmtId="4" fontId="21" fillId="34" borderId="16" xfId="0" applyNumberFormat="1" applyFont="1" applyFill="1" applyBorder="1"/>
    <xf numFmtId="4" fontId="21" fillId="34" borderId="27" xfId="0" applyNumberFormat="1" applyFont="1" applyFill="1" applyBorder="1" applyAlignment="1">
      <alignment vertical="center"/>
    </xf>
    <xf numFmtId="164" fontId="21" fillId="34" borderId="25" xfId="0" applyNumberFormat="1" applyFont="1" applyFill="1" applyBorder="1" applyAlignment="1">
      <alignment horizontal="right" vertical="center"/>
    </xf>
    <xf numFmtId="4" fontId="21" fillId="34" borderId="25" xfId="0" applyNumberFormat="1" applyFont="1" applyFill="1" applyBorder="1" applyAlignment="1">
      <alignment horizontal="right" vertical="center"/>
    </xf>
    <xf numFmtId="4" fontId="21" fillId="34" borderId="26" xfId="0" applyNumberFormat="1" applyFont="1" applyFill="1" applyBorder="1" applyAlignment="1">
      <alignment horizontal="right" vertical="center"/>
    </xf>
    <xf numFmtId="4" fontId="21" fillId="0" borderId="28" xfId="0" applyNumberFormat="1" applyFont="1" applyBorder="1" applyAlignment="1">
      <alignment vertical="center"/>
    </xf>
    <xf numFmtId="164" fontId="21" fillId="0" borderId="0" xfId="0" applyNumberFormat="1" applyFont="1" applyBorder="1" applyAlignment="1">
      <alignment horizontal="right" vertical="center"/>
    </xf>
    <xf numFmtId="4" fontId="21" fillId="0" borderId="0" xfId="0" applyNumberFormat="1" applyFont="1" applyBorder="1" applyAlignment="1">
      <alignment horizontal="right" vertical="center"/>
    </xf>
    <xf numFmtId="4" fontId="21" fillId="0" borderId="16" xfId="0" applyNumberFormat="1" applyFont="1" applyBorder="1" applyAlignment="1">
      <alignment horizontal="right" vertical="center"/>
    </xf>
    <xf numFmtId="4" fontId="21" fillId="34" borderId="29" xfId="0" applyNumberFormat="1" applyFont="1" applyFill="1" applyBorder="1" applyAlignment="1">
      <alignment vertical="center"/>
    </xf>
    <xf numFmtId="164" fontId="21" fillId="34" borderId="17" xfId="0" applyNumberFormat="1" applyFont="1" applyFill="1" applyBorder="1" applyAlignment="1">
      <alignment horizontal="right" vertical="center"/>
    </xf>
    <xf numFmtId="4" fontId="21" fillId="34" borderId="17" xfId="0" applyNumberFormat="1" applyFont="1" applyFill="1" applyBorder="1" applyAlignment="1">
      <alignment horizontal="right" vertical="center"/>
    </xf>
    <xf numFmtId="4" fontId="21" fillId="34" borderId="18" xfId="0" applyNumberFormat="1" applyFont="1" applyFill="1" applyBorder="1" applyAlignment="1">
      <alignment horizontal="right" vertical="center"/>
    </xf>
    <xf numFmtId="4" fontId="21" fillId="0" borderId="30" xfId="0" applyNumberFormat="1" applyFont="1" applyBorder="1" applyAlignment="1">
      <alignment horizontal="right" indent="1"/>
    </xf>
    <xf numFmtId="4" fontId="21" fillId="0" borderId="0" xfId="0" applyNumberFormat="1" applyFont="1" applyBorder="1" applyAlignment="1">
      <alignment horizontal="center"/>
    </xf>
    <xf numFmtId="0" fontId="19" fillId="0" borderId="16" xfId="0" applyFont="1" applyBorder="1" applyAlignment="1">
      <alignment vertical="center" textRotation="90"/>
    </xf>
    <xf numFmtId="4" fontId="21" fillId="34" borderId="23" xfId="0" applyNumberFormat="1" applyFont="1" applyFill="1" applyBorder="1" applyAlignment="1">
      <alignment vertical="center"/>
    </xf>
    <xf numFmtId="0" fontId="18" fillId="0" borderId="0" xfId="0" applyFont="1" applyAlignment="1">
      <alignment vertical="center" wrapText="1"/>
    </xf>
    <xf numFmtId="0" fontId="32" fillId="0" borderId="32" xfId="0" applyFont="1" applyBorder="1" applyAlignment="1">
      <alignment vertical="top" wrapText="1"/>
    </xf>
    <xf numFmtId="0" fontId="32" fillId="0" borderId="0" xfId="0" applyFont="1" applyBorder="1" applyAlignment="1">
      <alignment vertical="top" wrapText="1"/>
    </xf>
    <xf numFmtId="4" fontId="21" fillId="34" borderId="23"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81" xfId="0" applyNumberFormat="1" applyFont="1" applyBorder="1" applyAlignment="1">
      <alignment vertical="center"/>
    </xf>
    <xf numFmtId="4" fontId="21" fillId="34" borderId="16" xfId="0" applyNumberFormat="1" applyFont="1" applyFill="1" applyBorder="1" applyAlignment="1">
      <alignment horizontal="left" vertical="center"/>
    </xf>
    <xf numFmtId="164" fontId="21" fillId="34" borderId="23" xfId="0" quotePrefix="1" applyNumberFormat="1" applyFont="1" applyFill="1" applyBorder="1" applyAlignment="1">
      <alignment horizontal="left" vertical="center"/>
    </xf>
    <xf numFmtId="4" fontId="21" fillId="0" borderId="0" xfId="0" quotePrefix="1" applyNumberFormat="1" applyFont="1" applyFill="1" applyBorder="1" applyAlignment="1">
      <alignment horizontal="left" vertical="center" wrapText="1"/>
    </xf>
    <xf numFmtId="164" fontId="21" fillId="0" borderId="23" xfId="0" quotePrefix="1" applyNumberFormat="1" applyFont="1" applyBorder="1" applyAlignment="1">
      <alignment horizontal="left" vertical="center"/>
    </xf>
    <xf numFmtId="164" fontId="21" fillId="0" borderId="23" xfId="0" applyNumberFormat="1" applyFont="1" applyBorder="1" applyAlignment="1">
      <alignment horizontal="left" vertical="center"/>
    </xf>
    <xf numFmtId="4" fontId="21" fillId="34" borderId="23" xfId="0" applyNumberFormat="1" applyFont="1" applyFill="1" applyBorder="1" applyAlignment="1">
      <alignment horizontal="right" vertical="center" indent="1"/>
    </xf>
    <xf numFmtId="4" fontId="21" fillId="0" borderId="23" xfId="0" applyNumberFormat="1" applyFont="1" applyBorder="1" applyAlignment="1">
      <alignment horizontal="right" vertical="center" indent="1"/>
    </xf>
    <xf numFmtId="164" fontId="21" fillId="0" borderId="23" xfId="0" applyNumberFormat="1" applyFont="1" applyBorder="1" applyAlignment="1">
      <alignment horizontal="right" vertical="center" indent="1"/>
    </xf>
    <xf numFmtId="3" fontId="18" fillId="0" borderId="0" xfId="0" applyNumberFormat="1" applyFont="1" applyAlignment="1">
      <alignment horizontal="right" indent="1"/>
    </xf>
    <xf numFmtId="4" fontId="19" fillId="0" borderId="0" xfId="0" applyNumberFormat="1" applyFont="1" applyAlignment="1">
      <alignment horizontal="right" indent="1"/>
    </xf>
    <xf numFmtId="4" fontId="21" fillId="0" borderId="16" xfId="0" applyNumberFormat="1" applyFont="1" applyBorder="1"/>
    <xf numFmtId="4" fontId="21" fillId="34" borderId="82" xfId="0" applyNumberFormat="1" applyFont="1" applyFill="1" applyBorder="1"/>
    <xf numFmtId="0" fontId="18" fillId="0" borderId="0" xfId="0" quotePrefix="1" applyFont="1" applyAlignment="1">
      <alignment wrapText="1"/>
    </xf>
    <xf numFmtId="0" fontId="18" fillId="0" borderId="10" xfId="0" applyFont="1" applyBorder="1" applyAlignment="1">
      <alignment wrapText="1"/>
    </xf>
    <xf numFmtId="43" fontId="18" fillId="0" borderId="10" xfId="42" applyNumberFormat="1" applyFont="1" applyBorder="1"/>
    <xf numFmtId="0" fontId="18" fillId="0" borderId="10" xfId="0" applyFont="1" applyBorder="1"/>
    <xf numFmtId="0" fontId="21" fillId="0" borderId="0" xfId="0" applyFont="1" applyAlignment="1">
      <alignment wrapText="1"/>
    </xf>
    <xf numFmtId="9" fontId="21" fillId="34" borderId="23" xfId="43" applyFont="1" applyFill="1" applyBorder="1" applyAlignment="1">
      <alignment horizontal="right" indent="2"/>
    </xf>
    <xf numFmtId="9" fontId="21" fillId="0" borderId="23" xfId="43" applyFont="1" applyBorder="1" applyAlignment="1">
      <alignment horizontal="right" indent="2"/>
    </xf>
    <xf numFmtId="9" fontId="21" fillId="34" borderId="23" xfId="43" applyFont="1" applyFill="1" applyBorder="1" applyAlignment="1">
      <alignment horizontal="right" indent="4"/>
    </xf>
    <xf numFmtId="9" fontId="21" fillId="0" borderId="23" xfId="43" applyFont="1" applyBorder="1" applyAlignment="1">
      <alignment horizontal="right" indent="4"/>
    </xf>
    <xf numFmtId="4" fontId="21" fillId="34" borderId="23" xfId="0" applyNumberFormat="1" applyFont="1" applyFill="1" applyBorder="1" applyAlignment="1">
      <alignment horizontal="right" indent="2"/>
    </xf>
    <xf numFmtId="4" fontId="21" fillId="0" borderId="23" xfId="0" applyNumberFormat="1" applyFont="1" applyBorder="1" applyAlignment="1">
      <alignment horizontal="right" indent="2"/>
    </xf>
    <xf numFmtId="4" fontId="18" fillId="0" borderId="0" xfId="0" applyNumberFormat="1" applyFont="1" applyAlignment="1">
      <alignment horizontal="right" indent="2"/>
    </xf>
    <xf numFmtId="4" fontId="21" fillId="34" borderId="10" xfId="0" applyNumberFormat="1" applyFont="1" applyFill="1" applyBorder="1"/>
    <xf numFmtId="4" fontId="21" fillId="34" borderId="83" xfId="0" applyNumberFormat="1" applyFont="1" applyFill="1" applyBorder="1" applyAlignment="1">
      <alignment horizontal="right" indent="2"/>
    </xf>
    <xf numFmtId="4" fontId="21" fillId="34" borderId="23" xfId="0" quotePrefix="1" applyNumberFormat="1" applyFont="1" applyFill="1" applyBorder="1"/>
    <xf numFmtId="4" fontId="21" fillId="0" borderId="23" xfId="0" quotePrefix="1" applyNumberFormat="1" applyFont="1" applyBorder="1"/>
    <xf numFmtId="0" fontId="21" fillId="0" borderId="0" xfId="0" applyFont="1" applyBorder="1" applyAlignment="1">
      <alignment wrapText="1"/>
    </xf>
    <xf numFmtId="0" fontId="18" fillId="0" borderId="30" xfId="0" applyFont="1" applyBorder="1" applyAlignment="1">
      <alignment horizontal="center" wrapText="1"/>
    </xf>
    <xf numFmtId="4" fontId="47" fillId="34" borderId="16" xfId="0" applyNumberFormat="1" applyFont="1" applyFill="1" applyBorder="1"/>
    <xf numFmtId="4" fontId="47" fillId="0" borderId="16" xfId="0" applyNumberFormat="1" applyFont="1" applyBorder="1"/>
    <xf numFmtId="0" fontId="48" fillId="0" borderId="0" xfId="0" applyFont="1"/>
    <xf numFmtId="4" fontId="21" fillId="0" borderId="81" xfId="0" applyNumberFormat="1" applyFont="1" applyBorder="1" applyAlignment="1">
      <alignment horizontal="right" vertical="center" indent="1"/>
    </xf>
    <xf numFmtId="0" fontId="19" fillId="0" borderId="0" xfId="0" applyFont="1" applyAlignment="1">
      <alignment vertical="top"/>
    </xf>
    <xf numFmtId="4" fontId="23" fillId="34" borderId="23" xfId="0" applyNumberFormat="1" applyFont="1" applyFill="1" applyBorder="1" applyAlignment="1">
      <alignment horizontal="right" vertical="center" indent="1"/>
    </xf>
    <xf numFmtId="164" fontId="23" fillId="34" borderId="23" xfId="0" applyNumberFormat="1" applyFont="1" applyFill="1" applyBorder="1" applyAlignment="1">
      <alignment horizontal="left" vertical="center"/>
    </xf>
    <xf numFmtId="4" fontId="21" fillId="0" borderId="0" xfId="0" applyNumberFormat="1" applyFont="1" applyAlignment="1">
      <alignment horizontal="right" indent="2"/>
    </xf>
    <xf numFmtId="9" fontId="21" fillId="34" borderId="84" xfId="43" applyFont="1" applyFill="1" applyBorder="1" applyAlignment="1">
      <alignment horizontal="right" indent="2"/>
    </xf>
    <xf numFmtId="9" fontId="18" fillId="0" borderId="0" xfId="43" applyFont="1" applyAlignment="1">
      <alignment horizontal="right" indent="2"/>
    </xf>
    <xf numFmtId="164" fontId="21" fillId="34" borderId="0" xfId="0" applyNumberFormat="1" applyFont="1" applyFill="1" applyBorder="1"/>
    <xf numFmtId="164" fontId="21" fillId="0" borderId="0" xfId="0" applyNumberFormat="1" applyFont="1" applyBorder="1"/>
    <xf numFmtId="4" fontId="21" fillId="34" borderId="83" xfId="0" applyNumberFormat="1" applyFont="1" applyFill="1" applyBorder="1"/>
    <xf numFmtId="9" fontId="21" fillId="34" borderId="84" xfId="43" applyFont="1" applyFill="1" applyBorder="1" applyAlignment="1">
      <alignment horizontal="right" indent="4"/>
    </xf>
    <xf numFmtId="9" fontId="18" fillId="0" borderId="0" xfId="0" applyNumberFormat="1" applyFont="1" applyAlignment="1">
      <alignment horizontal="right" indent="4"/>
    </xf>
    <xf numFmtId="0" fontId="36" fillId="0" borderId="0" xfId="0" applyFont="1"/>
    <xf numFmtId="0" fontId="18" fillId="0" borderId="0" xfId="0" applyFont="1" applyAlignment="1"/>
    <xf numFmtId="0" fontId="18" fillId="0" borderId="27" xfId="0" applyFont="1" applyBorder="1"/>
    <xf numFmtId="0" fontId="19" fillId="0" borderId="86" xfId="0" applyFont="1" applyBorder="1" applyAlignment="1">
      <alignment horizontal="center" wrapText="1"/>
    </xf>
    <xf numFmtId="4" fontId="23" fillId="0" borderId="13" xfId="0" applyNumberFormat="1" applyFont="1" applyBorder="1" applyAlignment="1">
      <alignment horizontal="right" indent="2"/>
    </xf>
    <xf numFmtId="4" fontId="23" fillId="34" borderId="13" xfId="0" applyNumberFormat="1" applyFont="1" applyFill="1" applyBorder="1" applyAlignment="1">
      <alignment horizontal="right" indent="2"/>
    </xf>
    <xf numFmtId="4" fontId="23" fillId="0" borderId="14" xfId="0" applyNumberFormat="1" applyFont="1" applyBorder="1" applyAlignment="1">
      <alignment horizontal="right" indent="1"/>
    </xf>
    <xf numFmtId="4" fontId="23" fillId="0" borderId="13" xfId="0" applyNumberFormat="1" applyFont="1" applyBorder="1" applyAlignment="1">
      <alignment horizontal="right" indent="1"/>
    </xf>
    <xf numFmtId="4" fontId="23" fillId="0" borderId="14" xfId="0" applyNumberFormat="1" applyFont="1" applyBorder="1" applyAlignment="1">
      <alignment horizontal="right" indent="2"/>
    </xf>
    <xf numFmtId="4" fontId="23" fillId="34" borderId="13" xfId="0" applyNumberFormat="1" applyFont="1" applyFill="1" applyBorder="1" applyAlignment="1">
      <alignment horizontal="right" indent="3"/>
    </xf>
    <xf numFmtId="0" fontId="18" fillId="0" borderId="87" xfId="0" applyFont="1" applyBorder="1" applyAlignment="1">
      <alignment horizontal="center"/>
    </xf>
    <xf numFmtId="4" fontId="23" fillId="34" borderId="13" xfId="0" applyNumberFormat="1" applyFont="1" applyFill="1" applyBorder="1" applyAlignment="1">
      <alignment horizontal="right" indent="1"/>
    </xf>
    <xf numFmtId="4" fontId="23" fillId="0" borderId="13" xfId="0" applyNumberFormat="1" applyFont="1" applyBorder="1" applyAlignment="1">
      <alignment horizontal="right" indent="3"/>
    </xf>
    <xf numFmtId="0" fontId="22" fillId="0" borderId="87" xfId="0" quotePrefix="1" applyFont="1" applyBorder="1" applyAlignment="1">
      <alignment vertical="center" wrapText="1"/>
    </xf>
    <xf numFmtId="4" fontId="23" fillId="34" borderId="88" xfId="0" applyNumberFormat="1" applyFont="1" applyFill="1" applyBorder="1" applyAlignment="1">
      <alignment horizontal="right" indent="3"/>
    </xf>
    <xf numFmtId="4" fontId="21" fillId="34" borderId="26" xfId="0" applyNumberFormat="1" applyFont="1" applyFill="1" applyBorder="1"/>
    <xf numFmtId="0" fontId="20" fillId="0" borderId="85" xfId="0" applyFont="1" applyFill="1" applyBorder="1" applyAlignment="1">
      <alignment horizontal="left" vertical="center" wrapText="1" indent="1"/>
    </xf>
    <xf numFmtId="43" fontId="40" fillId="33" borderId="10" xfId="42" applyFont="1" applyFill="1" applyBorder="1"/>
    <xf numFmtId="0" fontId="19" fillId="0" borderId="41" xfId="0" applyFont="1" applyFill="1" applyBorder="1" applyAlignment="1">
      <alignment horizontal="center" vertical="center" wrapText="1"/>
    </xf>
    <xf numFmtId="4" fontId="18" fillId="0" borderId="91" xfId="0" applyNumberFormat="1" applyFont="1" applyFill="1" applyBorder="1"/>
    <xf numFmtId="0" fontId="19" fillId="0" borderId="40" xfId="0" applyFont="1" applyFill="1" applyBorder="1" applyAlignment="1">
      <alignment horizontal="center" vertical="center" wrapText="1"/>
    </xf>
    <xf numFmtId="4" fontId="18" fillId="0" borderId="46" xfId="0" applyNumberFormat="1" applyFont="1" applyFill="1" applyBorder="1" applyAlignment="1">
      <alignment horizontal="left" indent="1"/>
    </xf>
    <xf numFmtId="0" fontId="19" fillId="0" borderId="89" xfId="0" applyFont="1" applyFill="1" applyBorder="1" applyAlignment="1">
      <alignment vertical="center" wrapText="1"/>
    </xf>
    <xf numFmtId="43" fontId="40" fillId="33" borderId="11" xfId="42" applyFont="1" applyFill="1" applyBorder="1"/>
    <xf numFmtId="0" fontId="19" fillId="0" borderId="42" xfId="0" applyFont="1" applyFill="1" applyBorder="1" applyAlignment="1">
      <alignment horizontal="left" vertical="center" wrapText="1" indent="1"/>
    </xf>
    <xf numFmtId="4" fontId="18" fillId="0" borderId="44" xfId="0" applyNumberFormat="1" applyFont="1" applyFill="1" applyBorder="1" applyAlignment="1">
      <alignment horizontal="left" indent="1"/>
    </xf>
    <xf numFmtId="4" fontId="23" fillId="0" borderId="14" xfId="0" applyNumberFormat="1" applyFont="1" applyBorder="1" applyAlignment="1">
      <alignment horizontal="right" indent="3"/>
    </xf>
    <xf numFmtId="43" fontId="40" fillId="33" borderId="12" xfId="42" applyFont="1" applyFill="1" applyBorder="1"/>
    <xf numFmtId="0" fontId="20" fillId="0" borderId="90" xfId="0" applyFont="1" applyFill="1" applyBorder="1" applyAlignment="1">
      <alignment horizontal="center" vertical="center" wrapText="1"/>
    </xf>
    <xf numFmtId="4" fontId="21" fillId="0" borderId="18" xfId="0" applyNumberFormat="1" applyFont="1" applyBorder="1"/>
    <xf numFmtId="0" fontId="0" fillId="0" borderId="0" xfId="0"/>
    <xf numFmtId="0" fontId="24" fillId="0" borderId="0" xfId="0" applyFont="1"/>
    <xf numFmtId="0" fontId="18" fillId="0" borderId="30" xfId="0" applyFont="1" applyBorder="1" applyAlignment="1">
      <alignment wrapText="1"/>
    </xf>
    <xf numFmtId="0" fontId="18" fillId="0" borderId="0" xfId="0" applyFont="1" applyAlignment="1">
      <alignment horizontal="left" wrapText="1"/>
    </xf>
    <xf numFmtId="4" fontId="23" fillId="34" borderId="23" xfId="0" applyNumberFormat="1" applyFont="1" applyFill="1" applyBorder="1"/>
    <xf numFmtId="4" fontId="23" fillId="0" borderId="23" xfId="0" applyNumberFormat="1" applyFont="1" applyBorder="1"/>
    <xf numFmtId="0" fontId="20" fillId="0" borderId="31" xfId="0" applyFont="1" applyFill="1" applyBorder="1" applyAlignment="1">
      <alignment horizontal="center" vertical="center" wrapText="1"/>
    </xf>
    <xf numFmtId="0" fontId="19" fillId="0" borderId="34" xfId="0" applyFont="1" applyFill="1" applyBorder="1" applyAlignment="1">
      <alignment vertical="center" wrapText="1"/>
    </xf>
    <xf numFmtId="4" fontId="18" fillId="0" borderId="35" xfId="0" applyNumberFormat="1" applyFont="1" applyFill="1" applyBorder="1"/>
    <xf numFmtId="0" fontId="34" fillId="0" borderId="0" xfId="0" applyFont="1"/>
    <xf numFmtId="0" fontId="16" fillId="0" borderId="0" xfId="0" applyFont="1"/>
    <xf numFmtId="0" fontId="0" fillId="0" borderId="0" xfId="0" applyAlignment="1">
      <alignment wrapText="1"/>
    </xf>
    <xf numFmtId="0" fontId="0" fillId="0" borderId="0" xfId="0" applyAlignment="1"/>
    <xf numFmtId="0" fontId="38" fillId="0" borderId="0" xfId="0" applyFont="1" applyAlignment="1">
      <alignment horizontal="left" wrapText="1"/>
    </xf>
    <xf numFmtId="43" fontId="40" fillId="33" borderId="0" xfId="42" applyFont="1" applyFill="1" applyBorder="1"/>
    <xf numFmtId="0" fontId="0" fillId="0" borderId="0" xfId="0" applyAlignment="1">
      <alignment vertical="top" wrapText="1"/>
    </xf>
    <xf numFmtId="0" fontId="0" fillId="0" borderId="0" xfId="0" applyAlignment="1">
      <alignment vertical="top"/>
    </xf>
    <xf numFmtId="0" fontId="21" fillId="0" borderId="0" xfId="0" applyFont="1" applyAlignment="1">
      <alignment horizontal="left" wrapText="1"/>
    </xf>
    <xf numFmtId="0" fontId="18" fillId="0" borderId="30" xfId="0" applyFont="1" applyBorder="1" applyAlignment="1">
      <alignment horizontal="center"/>
    </xf>
    <xf numFmtId="4" fontId="46" fillId="34" borderId="0" xfId="0" applyNumberFormat="1" applyFont="1" applyFill="1" applyBorder="1"/>
    <xf numFmtId="4" fontId="46" fillId="0" borderId="0" xfId="0" applyNumberFormat="1" applyFont="1" applyBorder="1"/>
    <xf numFmtId="0" fontId="35" fillId="0" borderId="0" xfId="0" applyFont="1" applyAlignment="1">
      <alignment vertical="center"/>
    </xf>
    <xf numFmtId="0" fontId="36" fillId="0" borderId="0" xfId="0" applyFont="1" applyAlignment="1">
      <alignment vertical="center"/>
    </xf>
    <xf numFmtId="0" fontId="18" fillId="0" borderId="0" xfId="0" applyFont="1" applyAlignment="1">
      <alignment horizontal="left" wrapText="1"/>
    </xf>
    <xf numFmtId="0" fontId="49" fillId="0" borderId="0" xfId="0" applyFont="1" applyBorder="1" applyAlignment="1">
      <alignment vertical="top" wrapText="1"/>
    </xf>
    <xf numFmtId="0" fontId="21" fillId="0" borderId="30" xfId="0" applyFont="1" applyBorder="1" applyAlignment="1">
      <alignment wrapText="1"/>
    </xf>
    <xf numFmtId="0" fontId="0" fillId="0" borderId="0" xfId="0" applyAlignment="1">
      <alignment horizontal="center" vertical="center"/>
    </xf>
    <xf numFmtId="0" fontId="51" fillId="0" borderId="0" xfId="0" applyFont="1" applyAlignment="1">
      <alignment horizontal="center" vertical="center"/>
    </xf>
    <xf numFmtId="0" fontId="38" fillId="0" borderId="0" xfId="0" applyFont="1" applyAlignment="1">
      <alignment horizontal="center"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justify" vertical="center"/>
    </xf>
    <xf numFmtId="0" fontId="52" fillId="0" borderId="0" xfId="0" applyFont="1" applyAlignment="1">
      <alignment horizontal="center" vertical="center"/>
    </xf>
    <xf numFmtId="0" fontId="53" fillId="0" borderId="0" xfId="0" applyFont="1" applyAlignment="1">
      <alignment horizontal="center" vertical="center"/>
    </xf>
    <xf numFmtId="4" fontId="21" fillId="0" borderId="0" xfId="0" applyNumberFormat="1" applyFont="1" applyFill="1" applyBorder="1" applyAlignment="1">
      <alignment horizontal="right" indent="2"/>
    </xf>
    <xf numFmtId="0" fontId="18" fillId="0" borderId="92" xfId="0" applyFont="1" applyBorder="1" applyAlignment="1">
      <alignment horizontal="center" wrapText="1"/>
    </xf>
    <xf numFmtId="0" fontId="18" fillId="0" borderId="93" xfId="0" applyFont="1" applyBorder="1" applyAlignment="1">
      <alignment horizontal="center"/>
    </xf>
    <xf numFmtId="0" fontId="22" fillId="0" borderId="93" xfId="0" quotePrefix="1" applyFont="1" applyBorder="1" applyAlignment="1">
      <alignment vertical="center" wrapText="1"/>
    </xf>
    <xf numFmtId="4" fontId="21" fillId="34" borderId="94" xfId="0" applyNumberFormat="1" applyFont="1" applyFill="1" applyBorder="1" applyAlignment="1">
      <alignment horizontal="right" indent="1"/>
    </xf>
    <xf numFmtId="4" fontId="21" fillId="0" borderId="94" xfId="0" applyNumberFormat="1" applyFont="1" applyBorder="1" applyAlignment="1">
      <alignment horizontal="right" indent="1"/>
    </xf>
    <xf numFmtId="4" fontId="21" fillId="0" borderId="95" xfId="0" applyNumberFormat="1" applyFont="1" applyBorder="1" applyAlignment="1">
      <alignment horizontal="right" indent="1"/>
    </xf>
    <xf numFmtId="0" fontId="18" fillId="0" borderId="0" xfId="0" applyFont="1" applyFill="1" applyBorder="1" applyAlignment="1">
      <alignment horizontal="center" wrapText="1"/>
    </xf>
    <xf numFmtId="0" fontId="18" fillId="0" borderId="0" xfId="0" applyFont="1" applyFill="1" applyBorder="1" applyAlignment="1">
      <alignment horizontal="center"/>
    </xf>
    <xf numFmtId="0" fontId="18" fillId="0" borderId="0" xfId="0" applyFont="1" applyFill="1" applyBorder="1"/>
    <xf numFmtId="4" fontId="21" fillId="0" borderId="94" xfId="0" applyNumberFormat="1" applyFont="1" applyFill="1" applyBorder="1" applyAlignment="1">
      <alignment horizontal="right" indent="1"/>
    </xf>
    <xf numFmtId="0" fontId="22" fillId="0" borderId="96" xfId="0" quotePrefix="1" applyFont="1" applyBorder="1" applyAlignment="1">
      <alignment vertical="center" wrapText="1"/>
    </xf>
    <xf numFmtId="4" fontId="21" fillId="34" borderId="97" xfId="0" applyNumberFormat="1" applyFont="1" applyFill="1" applyBorder="1" applyAlignment="1">
      <alignment horizontal="right" indent="1"/>
    </xf>
    <xf numFmtId="4" fontId="21" fillId="34" borderId="38" xfId="0" applyNumberFormat="1" applyFont="1" applyFill="1" applyBorder="1"/>
    <xf numFmtId="4" fontId="21" fillId="34" borderId="98" xfId="0" applyNumberFormat="1" applyFont="1" applyFill="1" applyBorder="1" applyAlignment="1">
      <alignment horizontal="right" indent="1"/>
    </xf>
    <xf numFmtId="4" fontId="21" fillId="0" borderId="37" xfId="0" applyNumberFormat="1" applyFont="1" applyBorder="1"/>
    <xf numFmtId="4" fontId="21" fillId="0" borderId="99" xfId="0" applyNumberFormat="1" applyFont="1" applyBorder="1" applyAlignment="1">
      <alignment horizontal="right" indent="1"/>
    </xf>
    <xf numFmtId="4" fontId="21" fillId="34" borderId="37" xfId="0" applyNumberFormat="1" applyFont="1" applyFill="1" applyBorder="1"/>
    <xf numFmtId="4" fontId="21" fillId="34" borderId="99" xfId="0" applyNumberFormat="1" applyFont="1" applyFill="1" applyBorder="1" applyAlignment="1">
      <alignment horizontal="right" indent="1"/>
    </xf>
    <xf numFmtId="4" fontId="21" fillId="0" borderId="39" xfId="0" applyNumberFormat="1" applyFont="1" applyBorder="1"/>
    <xf numFmtId="4" fontId="21" fillId="0" borderId="100" xfId="0" applyNumberFormat="1" applyFont="1" applyBorder="1" applyAlignment="1">
      <alignment horizontal="right" indent="1"/>
    </xf>
    <xf numFmtId="0" fontId="52" fillId="0" borderId="0" xfId="0" applyFont="1" applyAlignment="1">
      <alignment horizontal="center"/>
    </xf>
    <xf numFmtId="0" fontId="53" fillId="0" borderId="0" xfId="0" applyFont="1"/>
    <xf numFmtId="0" fontId="54" fillId="0" borderId="0" xfId="0" applyFont="1" applyAlignment="1">
      <alignment horizontal="center" vertical="center"/>
    </xf>
    <xf numFmtId="0" fontId="0" fillId="0" borderId="0" xfId="0" applyAlignment="1">
      <alignment wrapText="1"/>
    </xf>
    <xf numFmtId="0" fontId="52" fillId="0" borderId="0" xfId="0" applyFont="1" applyAlignment="1">
      <alignment horizontal="center" vertical="center" wrapText="1"/>
    </xf>
    <xf numFmtId="0" fontId="35" fillId="0" borderId="0" xfId="0" applyFont="1" applyAlignment="1">
      <alignment horizontal="center"/>
    </xf>
    <xf numFmtId="0" fontId="0" fillId="0" borderId="0" xfId="0" applyAlignment="1">
      <alignment horizontal="center"/>
    </xf>
    <xf numFmtId="0" fontId="35" fillId="0" borderId="0" xfId="0" applyFont="1" applyAlignment="1"/>
    <xf numFmtId="0" fontId="0" fillId="0" borderId="0" xfId="0" applyAlignment="1"/>
    <xf numFmtId="0" fontId="18" fillId="0" borderId="0" xfId="0" applyFont="1" applyAlignment="1">
      <alignment horizontal="left"/>
    </xf>
    <xf numFmtId="0" fontId="24" fillId="0" borderId="0" xfId="0" applyFont="1" applyAlignment="1">
      <alignment horizontal="center" wrapText="1"/>
    </xf>
    <xf numFmtId="0" fontId="24" fillId="0" borderId="0" xfId="0" applyFont="1" applyAlignment="1">
      <alignment horizontal="center"/>
    </xf>
    <xf numFmtId="0" fontId="19" fillId="0" borderId="22"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24" fillId="0" borderId="0" xfId="0" applyFont="1" applyFill="1" applyBorder="1" applyAlignment="1">
      <alignment horizontal="center" wrapText="1"/>
    </xf>
    <xf numFmtId="0" fontId="19" fillId="0" borderId="22" xfId="0" applyFont="1" applyBorder="1" applyAlignment="1">
      <alignment horizontal="center" vertical="center" textRotation="90"/>
    </xf>
    <xf numFmtId="0" fontId="19" fillId="0" borderId="23" xfId="0" applyFont="1" applyBorder="1" applyAlignment="1">
      <alignment horizontal="center" vertical="center" textRotation="90"/>
    </xf>
    <xf numFmtId="0" fontId="19" fillId="0" borderId="24" xfId="0" applyFont="1" applyBorder="1" applyAlignment="1">
      <alignment horizontal="center" vertical="center" textRotation="90"/>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29" xfId="0" applyFont="1" applyBorder="1" applyAlignment="1">
      <alignment horizontal="center" vertical="center" textRotation="90"/>
    </xf>
    <xf numFmtId="0" fontId="18" fillId="0" borderId="0" xfId="0" applyFont="1" applyAlignment="1">
      <alignment horizontal="left" wrapText="1"/>
    </xf>
    <xf numFmtId="0" fontId="19" fillId="0" borderId="10" xfId="0" applyFont="1" applyBorder="1" applyAlignment="1">
      <alignment horizontal="center"/>
    </xf>
    <xf numFmtId="0" fontId="18" fillId="0" borderId="0" xfId="0" applyFont="1" applyAlignment="1">
      <alignment horizontal="left" vertical="top" wrapText="1"/>
    </xf>
    <xf numFmtId="14" fontId="18" fillId="33" borderId="0" xfId="0" applyNumberFormat="1" applyFont="1" applyFill="1" applyAlignment="1">
      <alignment horizontal="left"/>
    </xf>
    <xf numFmtId="0" fontId="19" fillId="0" borderId="0" xfId="0" applyFont="1" applyAlignment="1">
      <alignment horizontal="left"/>
    </xf>
    <xf numFmtId="0" fontId="36" fillId="0" borderId="0" xfId="0" applyFont="1" applyAlignment="1">
      <alignment horizontal="left" wrapText="1"/>
    </xf>
    <xf numFmtId="0" fontId="18" fillId="0" borderId="0" xfId="0" applyFont="1" applyBorder="1" applyAlignment="1">
      <alignment horizontal="left" vertical="center" wrapText="1" indent="2"/>
    </xf>
    <xf numFmtId="0" fontId="50" fillId="0" borderId="38" xfId="0" applyFont="1" applyBorder="1" applyAlignment="1">
      <alignment horizontal="left" vertical="top" wrapText="1"/>
    </xf>
    <xf numFmtId="0" fontId="50" fillId="0" borderId="33" xfId="0" applyFont="1" applyBorder="1" applyAlignment="1">
      <alignment horizontal="left" vertical="top" wrapText="1"/>
    </xf>
    <xf numFmtId="0" fontId="50" fillId="0" borderId="37" xfId="0" applyFont="1" applyBorder="1" applyAlignment="1">
      <alignment horizontal="left" vertical="top" wrapText="1"/>
    </xf>
    <xf numFmtId="0" fontId="50" fillId="0" borderId="35" xfId="0" applyFont="1" applyBorder="1" applyAlignment="1">
      <alignment horizontal="left" vertical="top" wrapText="1"/>
    </xf>
    <xf numFmtId="0" fontId="50" fillId="0" borderId="39" xfId="0" applyFont="1" applyBorder="1" applyAlignment="1">
      <alignment horizontal="left" vertical="top" wrapText="1"/>
    </xf>
    <xf numFmtId="0" fontId="50" fillId="0" borderId="36" xfId="0" applyFont="1" applyBorder="1" applyAlignment="1">
      <alignment horizontal="left" vertical="top" wrapText="1"/>
    </xf>
    <xf numFmtId="4" fontId="21" fillId="34" borderId="23" xfId="0" applyNumberFormat="1" applyFont="1" applyFill="1" applyBorder="1" applyAlignment="1">
      <alignment horizontal="center"/>
    </xf>
    <xf numFmtId="4" fontId="21" fillId="34" borderId="0" xfId="0" applyNumberFormat="1" applyFont="1" applyFill="1" applyBorder="1" applyAlignment="1">
      <alignment horizontal="center"/>
    </xf>
    <xf numFmtId="4" fontId="21" fillId="0" borderId="23" xfId="0" applyNumberFormat="1" applyFont="1" applyBorder="1" applyAlignment="1">
      <alignment horizontal="center"/>
    </xf>
    <xf numFmtId="4" fontId="21" fillId="0" borderId="0" xfId="0" applyNumberFormat="1" applyFont="1" applyBorder="1" applyAlignment="1">
      <alignment horizontal="center"/>
    </xf>
    <xf numFmtId="0" fontId="23" fillId="0" borderId="0" xfId="0" applyFont="1" applyBorder="1" applyAlignment="1">
      <alignment horizontal="center" wrapText="1"/>
    </xf>
    <xf numFmtId="0" fontId="19" fillId="0" borderId="0" xfId="0" applyFont="1" applyAlignment="1">
      <alignment horizontal="left" wrapText="1"/>
    </xf>
    <xf numFmtId="0" fontId="49" fillId="0" borderId="38" xfId="0" applyFont="1" applyBorder="1" applyAlignment="1">
      <alignment horizontal="left" vertical="top" wrapText="1"/>
    </xf>
    <xf numFmtId="0" fontId="49" fillId="0" borderId="32" xfId="0" applyFont="1" applyBorder="1" applyAlignment="1">
      <alignment horizontal="left" vertical="top" wrapText="1"/>
    </xf>
    <xf numFmtId="0" fontId="49" fillId="0" borderId="33" xfId="0" applyFont="1" applyBorder="1" applyAlignment="1">
      <alignment horizontal="left" vertical="top" wrapText="1"/>
    </xf>
    <xf numFmtId="0" fontId="49" fillId="0" borderId="37" xfId="0" applyFont="1" applyBorder="1" applyAlignment="1">
      <alignment horizontal="left" vertical="top" wrapText="1"/>
    </xf>
    <xf numFmtId="0" fontId="49" fillId="0" borderId="0" xfId="0" applyFont="1" applyBorder="1" applyAlignment="1">
      <alignment horizontal="left" vertical="top" wrapText="1"/>
    </xf>
    <xf numFmtId="0" fontId="49" fillId="0" borderId="35" xfId="0" applyFont="1" applyBorder="1" applyAlignment="1">
      <alignment horizontal="left" vertical="top" wrapText="1"/>
    </xf>
    <xf numFmtId="0" fontId="49" fillId="0" borderId="39" xfId="0" applyFont="1" applyBorder="1" applyAlignment="1">
      <alignment horizontal="left" vertical="top" wrapText="1"/>
    </xf>
    <xf numFmtId="0" fontId="49" fillId="0" borderId="30" xfId="0" applyFont="1" applyBorder="1" applyAlignment="1">
      <alignment horizontal="left" vertical="top" wrapText="1"/>
    </xf>
    <xf numFmtId="0" fontId="49" fillId="0" borderId="36" xfId="0" applyFont="1" applyBorder="1" applyAlignment="1">
      <alignment horizontal="left" vertical="top" wrapText="1"/>
    </xf>
    <xf numFmtId="0" fontId="37" fillId="0" borderId="22" xfId="0" applyFont="1" applyBorder="1" applyAlignment="1">
      <alignment horizontal="center" vertical="center" textRotation="90"/>
    </xf>
    <xf numFmtId="0" fontId="37" fillId="0" borderId="23" xfId="0" applyFont="1" applyBorder="1" applyAlignment="1">
      <alignment horizontal="center" vertical="center" textRotation="90"/>
    </xf>
    <xf numFmtId="0" fontId="37" fillId="0" borderId="24" xfId="0" applyFont="1" applyBorder="1" applyAlignment="1">
      <alignment horizontal="center" vertical="center" textRotation="90"/>
    </xf>
    <xf numFmtId="0" fontId="23" fillId="36" borderId="72" xfId="44" applyFont="1" applyFill="1" applyBorder="1" applyAlignment="1">
      <alignment horizontal="center" wrapText="1"/>
    </xf>
    <xf numFmtId="0" fontId="23" fillId="36" borderId="73" xfId="44" applyFont="1" applyFill="1" applyBorder="1" applyAlignment="1">
      <alignment horizontal="center" wrapText="1"/>
    </xf>
    <xf numFmtId="0" fontId="23" fillId="36" borderId="74" xfId="44" applyFont="1" applyFill="1" applyBorder="1" applyAlignment="1">
      <alignment horizontal="center" wrapText="1"/>
    </xf>
    <xf numFmtId="0" fontId="23" fillId="36" borderId="47" xfId="44" applyFont="1" applyFill="1" applyBorder="1" applyAlignment="1">
      <alignment horizontal="center"/>
    </xf>
    <xf numFmtId="0" fontId="23" fillId="36" borderId="48" xfId="44" applyFont="1" applyFill="1" applyBorder="1" applyAlignment="1">
      <alignment horizontal="center"/>
    </xf>
    <xf numFmtId="0" fontId="23" fillId="36" borderId="49" xfId="44" applyFont="1" applyFill="1" applyBorder="1" applyAlignment="1">
      <alignment horizontal="center"/>
    </xf>
    <xf numFmtId="0" fontId="41" fillId="35" borderId="0" xfId="44" applyFont="1" applyFill="1" applyAlignment="1">
      <alignment horizontal="center" vertical="top" wrapText="1"/>
    </xf>
    <xf numFmtId="0" fontId="42" fillId="35" borderId="0" xfId="44" applyFont="1" applyFill="1" applyBorder="1" applyAlignment="1">
      <alignment horizontal="center"/>
    </xf>
    <xf numFmtId="0" fontId="23" fillId="36" borderId="47" xfId="44" applyFont="1" applyFill="1" applyBorder="1" applyAlignment="1">
      <alignment horizontal="center" wrapText="1"/>
    </xf>
    <xf numFmtId="0" fontId="23" fillId="36" borderId="48" xfId="44" applyFont="1" applyFill="1" applyBorder="1" applyAlignment="1">
      <alignment horizontal="center" wrapText="1"/>
    </xf>
    <xf numFmtId="0" fontId="23" fillId="36" borderId="49" xfId="44" applyFont="1" applyFill="1" applyBorder="1" applyAlignment="1">
      <alignment horizontal="center" wrapText="1"/>
    </xf>
    <xf numFmtId="0" fontId="44" fillId="35" borderId="0" xfId="44" applyFont="1" applyFill="1" applyAlignment="1">
      <alignment horizontal="left" vertical="center" wrapText="1"/>
    </xf>
    <xf numFmtId="0" fontId="44" fillId="35" borderId="0" xfId="44" applyFont="1" applyFill="1" applyAlignment="1">
      <alignment horizontal="left" wrapText="1"/>
    </xf>
    <xf numFmtId="0" fontId="44" fillId="35" borderId="0" xfId="44" applyFont="1" applyFill="1" applyAlignment="1">
      <alignment horizontal="left" vertical="top" wrapText="1"/>
    </xf>
    <xf numFmtId="0" fontId="55" fillId="0" borderId="0" xfId="0" applyFont="1" applyAlignment="1">
      <alignment horizontal="center" vertic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cellStyle name="Note" xfId="15" builtinId="10" customBuiltin="1"/>
    <cellStyle name="Output" xfId="10" builtinId="21" customBuiltin="1"/>
    <cellStyle name="Percent" xfId="43" builtinId="5"/>
    <cellStyle name="Percent 2" xfId="45"/>
    <cellStyle name="Title" xfId="1" builtinId="15" customBuiltin="1"/>
    <cellStyle name="Total" xfId="17" builtinId="25" customBuiltin="1"/>
    <cellStyle name="Warning Text" xfId="14" builtinId="11" customBuiltin="1"/>
  </cellStyles>
  <dxfs count="27">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outline="0">
        <left style="thin">
          <color theme="1" tint="0.24994659260841701"/>
        </left>
        <right/>
        <top/>
        <bottom/>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border diagonalUp="0" diagonalDown="0" outline="0">
        <left style="medium">
          <color indexed="64"/>
        </left>
        <right/>
        <top/>
        <bottom/>
      </border>
    </dxf>
    <dxf>
      <font>
        <b val="0"/>
        <i val="0"/>
        <strike val="0"/>
        <condense val="0"/>
        <extend val="0"/>
        <outline val="0"/>
        <shadow val="0"/>
        <u val="none"/>
        <vertAlign val="baseline"/>
        <sz val="10"/>
        <color auto="1"/>
        <name val="Arial"/>
        <scheme val="none"/>
      </font>
      <numFmt numFmtId="4" formatCode="#,##0.00"/>
      <fill>
        <patternFill patternType="none">
          <fgColor indexed="64"/>
          <bgColor indexed="65"/>
        </patternFill>
      </fill>
      <border diagonalUp="0" diagonalDown="0">
        <left/>
        <right style="medium">
          <color auto="1"/>
        </right>
        <top/>
        <bottom/>
        <vertical style="medium">
          <color auto="1"/>
        </vertical>
        <horizontal/>
      </border>
    </dxf>
    <dxf>
      <font>
        <b val="0"/>
        <i val="0"/>
        <strike val="0"/>
        <condense val="0"/>
        <extend val="0"/>
        <outline val="0"/>
        <shadow val="0"/>
        <u val="none"/>
        <vertAlign val="baseline"/>
        <sz val="10"/>
        <color theme="1"/>
        <name val="Arial"/>
        <scheme val="none"/>
      </font>
      <numFmt numFmtId="4" formatCode="#,##0.00"/>
      <fill>
        <patternFill patternType="none">
          <fgColor indexed="64"/>
          <bgColor indexed="65"/>
        </patternFill>
      </fill>
      <border diagonalUp="0" diagonalDown="0" outline="0">
        <left/>
        <right style="medium">
          <color indexed="64"/>
        </right>
        <top/>
        <bottom/>
      </border>
    </dxf>
    <dxf>
      <border diagonalUp="0" diagonalDown="0">
        <left style="thin">
          <color theme="1" tint="0.24994659260841701"/>
        </left>
        <right style="thin">
          <color theme="1" tint="0.24994659260841701"/>
        </right>
        <top/>
        <bottom style="thin">
          <color theme="1" tint="0.24994659260841701"/>
        </bottom>
      </border>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style="medium">
          <color auto="1"/>
        </right>
        <top/>
        <bottom/>
        <vertical style="medium">
          <color auto="1"/>
        </vertical>
        <horizontal style="medium">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14</xdr:col>
      <xdr:colOff>45720</xdr:colOff>
      <xdr:row>15</xdr:row>
      <xdr:rowOff>167640</xdr:rowOff>
    </xdr:from>
    <xdr:to>
      <xdr:col>14</xdr:col>
      <xdr:colOff>792480</xdr:colOff>
      <xdr:row>15</xdr:row>
      <xdr:rowOff>167640</xdr:rowOff>
    </xdr:to>
    <xdr:cxnSp macro="">
      <xdr:nvCxnSpPr>
        <xdr:cNvPr id="4" name="Straight Connector 3"/>
        <xdr:cNvCxnSpPr/>
      </xdr:nvCxnSpPr>
      <xdr:spPr>
        <a:xfrm>
          <a:off x="6598920" y="314706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5" name="Straight Connector 4"/>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6" name="Straight Connector 5"/>
        <xdr:cNvCxnSpPr/>
      </xdr:nvCxnSpPr>
      <xdr:spPr>
        <a:xfrm>
          <a:off x="5897880" y="3383280"/>
          <a:ext cx="74676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45720</xdr:colOff>
      <xdr:row>15</xdr:row>
      <xdr:rowOff>167640</xdr:rowOff>
    </xdr:from>
    <xdr:to>
      <xdr:col>18</xdr:col>
      <xdr:colOff>792480</xdr:colOff>
      <xdr:row>15</xdr:row>
      <xdr:rowOff>167640</xdr:rowOff>
    </xdr:to>
    <xdr:cxnSp macro="">
      <xdr:nvCxnSpPr>
        <xdr:cNvPr id="7" name="Straight Connector 6"/>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45720</xdr:colOff>
      <xdr:row>15</xdr:row>
      <xdr:rowOff>167640</xdr:rowOff>
    </xdr:from>
    <xdr:to>
      <xdr:col>23</xdr:col>
      <xdr:colOff>792480</xdr:colOff>
      <xdr:row>15</xdr:row>
      <xdr:rowOff>167640</xdr:rowOff>
    </xdr:to>
    <xdr:cxnSp macro="">
      <xdr:nvCxnSpPr>
        <xdr:cNvPr id="8" name="Straight Connector 7"/>
        <xdr:cNvCxnSpPr/>
      </xdr:nvCxnSpPr>
      <xdr:spPr>
        <a:xfrm>
          <a:off x="5897880" y="3383280"/>
          <a:ext cx="701040" cy="0"/>
        </a:xfrm>
        <a:prstGeom prst="lin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91440</xdr:colOff>
      <xdr:row>5</xdr:row>
      <xdr:rowOff>30480</xdr:rowOff>
    </xdr:from>
    <xdr:to>
      <xdr:col>5</xdr:col>
      <xdr:colOff>2216032</xdr:colOff>
      <xdr:row>71</xdr:row>
      <xdr:rowOff>0</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45" t="2122" r="3432" b="13485"/>
        <a:stretch/>
      </xdr:blipFill>
      <xdr:spPr>
        <a:xfrm>
          <a:off x="91440" y="815340"/>
          <a:ext cx="6186052" cy="7200900"/>
        </a:xfrm>
        <a:prstGeom prst="rect">
          <a:avLst/>
        </a:prstGeom>
      </xdr:spPr>
    </xdr:pic>
    <xdr:clientData/>
  </xdr:twoCellAnchor>
</xdr:wsDr>
</file>

<file path=xl/tables/table1.xml><?xml version="1.0" encoding="utf-8"?>
<table xmlns="http://schemas.openxmlformats.org/spreadsheetml/2006/main" id="1" name="LoadsTable" displayName="LoadsTable" ref="B17:M32" headerRowCount="0" totalsRowShown="0" headerRowDxfId="26" dataDxfId="25" tableBorderDxfId="24">
  <tableColumns count="12">
    <tableColumn id="1" name="Column1" headerRowDxfId="23" dataDxfId="22"/>
    <tableColumn id="2" name="Column2" headerRowDxfId="21" dataDxfId="20">
      <calculatedColumnFormula>+'Christina Basin MapShed Output'!C22</calculatedColumnFormula>
    </tableColumn>
    <tableColumn id="3" name="Column3" headerRowDxfId="19" dataDxfId="18">
      <calculatedColumnFormula>+'Christina Basin MapShed Output'!D22</calculatedColumnFormula>
    </tableColumn>
    <tableColumn id="4" name="Column4" headerRowDxfId="17" dataDxfId="16">
      <calculatedColumnFormula>+'Christina Basin MapShed Output'!E22</calculatedColumnFormula>
    </tableColumn>
    <tableColumn id="5" name="Column5" headerRowDxfId="15" dataDxfId="14"/>
    <tableColumn id="6" name="Column6" headerRowDxfId="13" dataDxfId="12">
      <calculatedColumnFormula>+'Christina Basin MapShed Output'!F22</calculatedColumnFormula>
    </tableColumn>
    <tableColumn id="7" name="Column7" headerRowDxfId="11" dataDxfId="10">
      <calculatedColumnFormula>+'Christina Basin MapShed Output'!G22</calculatedColumnFormula>
    </tableColumn>
    <tableColumn id="8" name="Column8" headerRowDxfId="9" dataDxfId="8"/>
    <tableColumn id="9" name="Column9" headerRowDxfId="7" dataDxfId="6">
      <calculatedColumnFormula>+'Christina Basin MapShed Output'!H22</calculatedColumnFormula>
    </tableColumn>
    <tableColumn id="10" name="Column10" headerRowDxfId="5" dataDxfId="4">
      <calculatedColumnFormula>+'Christina Basin MapShed Output'!I22</calculatedColumnFormula>
    </tableColumn>
    <tableColumn id="11" name="Column11" headerRowDxfId="3" dataDxfId="2"/>
    <tableColumn id="12" name="Column12" headerRowDxfId="1" dataDxfId="0">
      <calculatedColumnFormula>+'Christina Basin MapShed Output'!J22</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abSelected="1" view="pageLayout" zoomScaleNormal="100" workbookViewId="0">
      <selection activeCell="A15" sqref="A15:I15"/>
    </sheetView>
  </sheetViews>
  <sheetFormatPr defaultColWidth="9.140625" defaultRowHeight="15" x14ac:dyDescent="0.25"/>
  <cols>
    <col min="1" max="1" width="8" customWidth="1"/>
    <col min="2" max="5" width="8.85546875"/>
    <col min="6" max="8" width="9.140625" style="360"/>
    <col min="9" max="9" width="11" style="360" customWidth="1"/>
    <col min="10" max="16384" width="9.140625" style="360"/>
  </cols>
  <sheetData>
    <row r="2" spans="1:9" ht="23.25" x14ac:dyDescent="0.25">
      <c r="E2" s="357" t="s">
        <v>305</v>
      </c>
    </row>
    <row r="3" spans="1:9" ht="15.75" x14ac:dyDescent="0.25">
      <c r="A3" s="390" t="s">
        <v>349</v>
      </c>
      <c r="B3" s="391"/>
      <c r="C3" s="391"/>
      <c r="D3" s="391"/>
      <c r="E3" s="391"/>
      <c r="H3" s="351" t="s">
        <v>346</v>
      </c>
    </row>
    <row r="4" spans="1:9" ht="18.75" x14ac:dyDescent="0.25">
      <c r="E4" s="358" t="s">
        <v>306</v>
      </c>
    </row>
    <row r="5" spans="1:9" ht="18.75" x14ac:dyDescent="0.25">
      <c r="E5" s="358" t="s">
        <v>307</v>
      </c>
    </row>
    <row r="6" spans="1:9" ht="18.75" x14ac:dyDescent="0.25">
      <c r="E6" s="358"/>
    </row>
    <row r="7" spans="1:9" ht="18.75" x14ac:dyDescent="0.25">
      <c r="E7" s="358" t="s">
        <v>308</v>
      </c>
    </row>
    <row r="8" spans="1:9" ht="18.75" x14ac:dyDescent="0.25">
      <c r="E8" s="358" t="s">
        <v>309</v>
      </c>
    </row>
    <row r="9" spans="1:9" ht="18.75" x14ac:dyDescent="0.25">
      <c r="E9" s="358" t="s">
        <v>310</v>
      </c>
    </row>
    <row r="10" spans="1:9" ht="18.75" x14ac:dyDescent="0.25">
      <c r="E10" s="358" t="s">
        <v>311</v>
      </c>
    </row>
    <row r="11" spans="1:9" ht="18.75" x14ac:dyDescent="0.25">
      <c r="E11" s="358"/>
    </row>
    <row r="12" spans="1:9" ht="18.75" x14ac:dyDescent="0.25">
      <c r="E12" s="452" t="s">
        <v>350</v>
      </c>
    </row>
    <row r="13" spans="1:9" ht="18.75" x14ac:dyDescent="0.25">
      <c r="E13" s="358" t="s">
        <v>351</v>
      </c>
    </row>
    <row r="14" spans="1:9" x14ac:dyDescent="0.25">
      <c r="E14" s="359"/>
    </row>
    <row r="15" spans="1:9" ht="144" customHeight="1" x14ac:dyDescent="0.25">
      <c r="A15" s="388" t="s">
        <v>339</v>
      </c>
      <c r="B15" s="388"/>
      <c r="C15" s="388"/>
      <c r="D15" s="388"/>
      <c r="E15" s="388"/>
      <c r="F15" s="388"/>
      <c r="G15" s="388"/>
      <c r="H15" s="388"/>
      <c r="I15" s="388"/>
    </row>
    <row r="16" spans="1:9" x14ac:dyDescent="0.25">
      <c r="E16" s="361"/>
    </row>
    <row r="17" spans="1:9" x14ac:dyDescent="0.25">
      <c r="E17" s="356" t="s">
        <v>312</v>
      </c>
    </row>
    <row r="18" spans="1:9" x14ac:dyDescent="0.25">
      <c r="E18" s="356"/>
    </row>
    <row r="19" spans="1:9" ht="63" customHeight="1" x14ac:dyDescent="0.25">
      <c r="A19" s="389" t="s">
        <v>313</v>
      </c>
      <c r="B19" s="388"/>
      <c r="C19" s="388"/>
      <c r="D19" s="388"/>
      <c r="E19" s="388"/>
      <c r="F19" s="388"/>
      <c r="G19" s="388"/>
      <c r="H19" s="388"/>
      <c r="I19" s="388"/>
    </row>
    <row r="20" spans="1:9" x14ac:dyDescent="0.25">
      <c r="E20" s="361"/>
    </row>
    <row r="21" spans="1:9" ht="32.25" customHeight="1" x14ac:dyDescent="0.25">
      <c r="A21" s="389" t="s">
        <v>343</v>
      </c>
      <c r="B21" s="388"/>
      <c r="C21" s="388"/>
      <c r="D21" s="388"/>
      <c r="E21" s="388"/>
      <c r="F21" s="388"/>
      <c r="G21" s="388"/>
      <c r="H21" s="388"/>
      <c r="I21" s="388"/>
    </row>
    <row r="22" spans="1:9" x14ac:dyDescent="0.25">
      <c r="A22" s="330"/>
      <c r="E22" s="362" t="s">
        <v>344</v>
      </c>
    </row>
    <row r="23" spans="1:9" x14ac:dyDescent="0.25">
      <c r="A23" s="330"/>
      <c r="E23" s="387" t="s">
        <v>345</v>
      </c>
    </row>
    <row r="25" spans="1:9" x14ac:dyDescent="0.25">
      <c r="E25" s="362" t="s">
        <v>340</v>
      </c>
    </row>
    <row r="26" spans="1:9" x14ac:dyDescent="0.25">
      <c r="E26" s="362" t="s">
        <v>314</v>
      </c>
    </row>
    <row r="27" spans="1:9" ht="15.75" x14ac:dyDescent="0.25">
      <c r="E27" s="363" t="s">
        <v>315</v>
      </c>
    </row>
    <row r="28" spans="1:9" x14ac:dyDescent="0.25">
      <c r="E28" s="385" t="s">
        <v>310</v>
      </c>
    </row>
    <row r="29" spans="1:9" x14ac:dyDescent="0.25">
      <c r="E29" s="362" t="s">
        <v>341</v>
      </c>
    </row>
    <row r="30" spans="1:9" ht="15.75" x14ac:dyDescent="0.25">
      <c r="C30" s="386" t="s">
        <v>342</v>
      </c>
    </row>
  </sheetData>
  <mergeCells count="4">
    <mergeCell ref="A15:I15"/>
    <mergeCell ref="A19:I19"/>
    <mergeCell ref="A3:E3"/>
    <mergeCell ref="A21:I21"/>
  </mergeCells>
  <pageMargins left="0.7" right="0.7" top="0.75" bottom="0.75" header="0.3" footer="0.3"/>
  <pageSetup orientation="portrait" r:id="rId1"/>
  <headerFooter>
    <oddFooter>&amp;R&amp;10Christina Basin Loading Rates Tool (May 12,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view="pageLayout" topLeftCell="B1" zoomScaleNormal="100" workbookViewId="0">
      <selection activeCell="N5" sqref="N5"/>
    </sheetView>
  </sheetViews>
  <sheetFormatPr defaultRowHeight="15" x14ac:dyDescent="0.25"/>
  <cols>
    <col min="1" max="1" width="28.5703125" customWidth="1"/>
    <col min="2" max="2" width="12.85546875" customWidth="1"/>
    <col min="3" max="3" width="12.140625" customWidth="1"/>
    <col min="4" max="4" width="12.85546875" customWidth="1"/>
    <col min="5" max="5" width="14.140625" customWidth="1"/>
    <col min="6" max="6" width="12.42578125" customWidth="1"/>
    <col min="7" max="8" width="12.140625" customWidth="1"/>
    <col min="9" max="9" width="14.5703125" customWidth="1"/>
    <col min="10" max="10" width="12.7109375" customWidth="1"/>
    <col min="11" max="11" width="14.140625" customWidth="1"/>
    <col min="12" max="12" width="12.28515625" customWidth="1"/>
    <col min="13" max="13" width="16.42578125" customWidth="1"/>
  </cols>
  <sheetData>
    <row r="1" spans="1:13" x14ac:dyDescent="0.25">
      <c r="A1" s="444" t="s">
        <v>332</v>
      </c>
      <c r="B1" s="444"/>
      <c r="C1" s="444"/>
      <c r="D1" s="444"/>
      <c r="E1" s="444"/>
      <c r="F1" s="444"/>
      <c r="G1" s="444"/>
      <c r="H1" s="444"/>
      <c r="I1" s="444"/>
      <c r="J1" s="444"/>
      <c r="K1" s="444"/>
      <c r="L1" s="444"/>
      <c r="M1" s="444"/>
    </row>
    <row r="2" spans="1:13" ht="20.25" customHeight="1" x14ac:dyDescent="0.25">
      <c r="A2" s="444"/>
      <c r="B2" s="444"/>
      <c r="C2" s="444"/>
      <c r="D2" s="444"/>
      <c r="E2" s="444"/>
      <c r="F2" s="444"/>
      <c r="G2" s="444"/>
      <c r="H2" s="444"/>
      <c r="I2" s="444"/>
      <c r="J2" s="444"/>
      <c r="K2" s="444"/>
      <c r="L2" s="444"/>
      <c r="M2" s="444"/>
    </row>
    <row r="3" spans="1:13" ht="5.25" customHeight="1" thickBot="1" x14ac:dyDescent="0.3">
      <c r="A3" s="445"/>
      <c r="B3" s="445"/>
      <c r="C3" s="445"/>
      <c r="D3" s="445"/>
      <c r="E3" s="445"/>
      <c r="F3" s="445"/>
      <c r="G3" s="445"/>
      <c r="H3" s="445"/>
      <c r="I3" s="445"/>
      <c r="J3" s="445"/>
      <c r="K3" s="445"/>
      <c r="L3" s="126"/>
      <c r="M3" s="126"/>
    </row>
    <row r="4" spans="1:13" ht="25.5" customHeight="1" x14ac:dyDescent="0.25">
      <c r="A4" s="124" t="s">
        <v>184</v>
      </c>
      <c r="B4" s="446" t="s">
        <v>106</v>
      </c>
      <c r="C4" s="447"/>
      <c r="D4" s="447"/>
      <c r="E4" s="448"/>
      <c r="F4" s="441" t="s">
        <v>107</v>
      </c>
      <c r="G4" s="442"/>
      <c r="H4" s="442"/>
      <c r="I4" s="443"/>
      <c r="J4" s="442" t="s">
        <v>108</v>
      </c>
      <c r="K4" s="442"/>
      <c r="L4" s="442"/>
      <c r="M4" s="443"/>
    </row>
    <row r="5" spans="1:13" ht="33" customHeight="1" x14ac:dyDescent="0.25">
      <c r="A5" s="127" t="s">
        <v>185</v>
      </c>
      <c r="B5" s="127" t="s">
        <v>109</v>
      </c>
      <c r="C5" s="130" t="s">
        <v>110</v>
      </c>
      <c r="D5" s="128" t="s">
        <v>111</v>
      </c>
      <c r="E5" s="129" t="s">
        <v>112</v>
      </c>
      <c r="F5" s="127" t="s">
        <v>186</v>
      </c>
      <c r="G5" s="130" t="s">
        <v>113</v>
      </c>
      <c r="H5" s="128" t="s">
        <v>114</v>
      </c>
      <c r="I5" s="131" t="s">
        <v>115</v>
      </c>
      <c r="J5" s="132" t="s">
        <v>187</v>
      </c>
      <c r="K5" s="130" t="s">
        <v>116</v>
      </c>
      <c r="L5" s="128" t="s">
        <v>114</v>
      </c>
      <c r="M5" s="129" t="s">
        <v>115</v>
      </c>
    </row>
    <row r="6" spans="1:13" x14ac:dyDescent="0.25">
      <c r="A6" s="133" t="s">
        <v>117</v>
      </c>
      <c r="B6" s="134">
        <v>310.81</v>
      </c>
      <c r="C6" s="135">
        <v>130.35</v>
      </c>
      <c r="D6" s="136">
        <v>180.46</v>
      </c>
      <c r="E6" s="137">
        <v>0.5806</v>
      </c>
      <c r="F6" s="138"/>
      <c r="G6" s="139"/>
      <c r="H6" s="140"/>
      <c r="I6" s="141"/>
      <c r="J6" s="142"/>
      <c r="K6" s="139"/>
      <c r="L6" s="143"/>
      <c r="M6" s="141"/>
    </row>
    <row r="7" spans="1:13" x14ac:dyDescent="0.25">
      <c r="A7" s="133" t="s">
        <v>118</v>
      </c>
      <c r="B7" s="134">
        <v>231.29</v>
      </c>
      <c r="C7" s="135">
        <v>86.06</v>
      </c>
      <c r="D7" s="136">
        <v>145.22999999999999</v>
      </c>
      <c r="E7" s="137">
        <v>0.6552</v>
      </c>
      <c r="F7" s="144">
        <v>16.079999999999998</v>
      </c>
      <c r="G7" s="145">
        <v>10.86</v>
      </c>
      <c r="H7" s="146">
        <v>5.2199999999999989</v>
      </c>
      <c r="I7" s="147">
        <v>0.32462686567164173</v>
      </c>
      <c r="J7" s="148">
        <v>3.0150000000000001</v>
      </c>
      <c r="K7" s="139">
        <v>2.0310000000000001</v>
      </c>
      <c r="L7" s="140">
        <v>0.98399999999999999</v>
      </c>
      <c r="M7" s="149">
        <v>0.3263681592039801</v>
      </c>
    </row>
    <row r="8" spans="1:13" x14ac:dyDescent="0.25">
      <c r="A8" s="133" t="s">
        <v>119</v>
      </c>
      <c r="B8" s="134">
        <v>1185</v>
      </c>
      <c r="C8" s="135">
        <v>467.17</v>
      </c>
      <c r="D8" s="136">
        <v>717.82999999999993</v>
      </c>
      <c r="E8" s="137">
        <v>0.60580000000000001</v>
      </c>
      <c r="F8" s="144"/>
      <c r="G8" s="139"/>
      <c r="H8" s="146"/>
      <c r="I8" s="147"/>
      <c r="J8" s="142"/>
      <c r="K8" s="139"/>
      <c r="L8" s="140"/>
      <c r="M8" s="149"/>
    </row>
    <row r="9" spans="1:13" x14ac:dyDescent="0.25">
      <c r="A9" s="133" t="s">
        <v>120</v>
      </c>
      <c r="B9" s="150"/>
      <c r="C9" s="151"/>
      <c r="D9" s="152"/>
      <c r="E9" s="153"/>
      <c r="F9" s="144">
        <v>54.19</v>
      </c>
      <c r="G9" s="145">
        <v>44.44</v>
      </c>
      <c r="H9" s="146">
        <v>9.75</v>
      </c>
      <c r="I9" s="147">
        <v>0.17992249492526297</v>
      </c>
      <c r="J9" s="148">
        <v>0.82599999999999996</v>
      </c>
      <c r="K9" s="139">
        <v>0.67700000000000005</v>
      </c>
      <c r="L9" s="140">
        <v>0.14899999999999991</v>
      </c>
      <c r="M9" s="149">
        <v>0.18038740920096843</v>
      </c>
    </row>
    <row r="10" spans="1:13" x14ac:dyDescent="0.25">
      <c r="A10" s="154" t="s">
        <v>121</v>
      </c>
      <c r="B10" s="134">
        <v>803.23</v>
      </c>
      <c r="C10" s="135">
        <v>426.42</v>
      </c>
      <c r="D10" s="136">
        <v>376.81</v>
      </c>
      <c r="E10" s="137">
        <v>0.46910000000000002</v>
      </c>
      <c r="F10" s="144">
        <v>110.54</v>
      </c>
      <c r="G10" s="155">
        <v>75.739999999999995</v>
      </c>
      <c r="H10" s="146">
        <v>34.800000000000011</v>
      </c>
      <c r="I10" s="147">
        <v>0.3148181653700019</v>
      </c>
      <c r="J10" s="156">
        <v>22.364999999999998</v>
      </c>
      <c r="K10" s="157">
        <v>15.348000000000001</v>
      </c>
      <c r="L10" s="140">
        <v>7.0169999999999977</v>
      </c>
      <c r="M10" s="158">
        <v>0.31374916163648547</v>
      </c>
    </row>
    <row r="11" spans="1:13" x14ac:dyDescent="0.25">
      <c r="A11" s="133" t="s">
        <v>122</v>
      </c>
      <c r="B11" s="150">
        <v>366.7</v>
      </c>
      <c r="C11" s="135">
        <v>139.44</v>
      </c>
      <c r="D11" s="136">
        <v>227.26</v>
      </c>
      <c r="E11" s="137">
        <v>0.61980000000000002</v>
      </c>
      <c r="F11" s="159"/>
      <c r="G11" s="139"/>
      <c r="H11" s="146"/>
      <c r="I11" s="147"/>
      <c r="J11" s="142"/>
      <c r="K11" s="139"/>
      <c r="L11" s="140"/>
      <c r="M11" s="149"/>
    </row>
    <row r="12" spans="1:13" x14ac:dyDescent="0.25">
      <c r="A12" s="212" t="s">
        <v>123</v>
      </c>
      <c r="B12" s="213">
        <v>384.8</v>
      </c>
      <c r="C12" s="214">
        <v>238.86</v>
      </c>
      <c r="D12" s="215">
        <v>145.94</v>
      </c>
      <c r="E12" s="216">
        <v>0.37930000000000003</v>
      </c>
      <c r="F12" s="217"/>
      <c r="G12" s="218"/>
      <c r="H12" s="219"/>
      <c r="I12" s="220"/>
      <c r="J12" s="221"/>
      <c r="K12" s="218"/>
      <c r="L12" s="222"/>
      <c r="M12" s="223"/>
    </row>
    <row r="13" spans="1:13" x14ac:dyDescent="0.25">
      <c r="A13" s="212" t="s">
        <v>124</v>
      </c>
      <c r="B13" s="213">
        <v>20.58</v>
      </c>
      <c r="C13" s="214">
        <v>13.23</v>
      </c>
      <c r="D13" s="215">
        <v>7.3499999999999979</v>
      </c>
      <c r="E13" s="216">
        <v>0.35699999999999998</v>
      </c>
      <c r="F13" s="217">
        <v>9.61</v>
      </c>
      <c r="G13" s="224">
        <v>5.76</v>
      </c>
      <c r="H13" s="219">
        <v>3.8499999999999996</v>
      </c>
      <c r="I13" s="220">
        <v>0.40062434963579602</v>
      </c>
      <c r="J13" s="225">
        <v>0.184</v>
      </c>
      <c r="K13" s="218">
        <v>0.11</v>
      </c>
      <c r="L13" s="222">
        <v>7.3999999999999996E-2</v>
      </c>
      <c r="M13" s="223">
        <v>0.40217391304347827</v>
      </c>
    </row>
    <row r="14" spans="1:13" x14ac:dyDescent="0.25">
      <c r="A14" s="154" t="s">
        <v>125</v>
      </c>
      <c r="B14" s="134">
        <v>813.84</v>
      </c>
      <c r="C14" s="151">
        <v>558.76</v>
      </c>
      <c r="D14" s="136">
        <v>255.08000000000004</v>
      </c>
      <c r="E14" s="137">
        <v>0.31340000000000001</v>
      </c>
      <c r="F14" s="144">
        <v>421.64</v>
      </c>
      <c r="G14" s="155">
        <v>279.02</v>
      </c>
      <c r="H14" s="146">
        <v>142.62</v>
      </c>
      <c r="I14" s="147">
        <v>0.33825064035670244</v>
      </c>
      <c r="J14" s="156">
        <v>7.5990000000000002</v>
      </c>
      <c r="K14" s="157">
        <v>4.9560000000000004</v>
      </c>
      <c r="L14" s="140">
        <v>2.6429999999999998</v>
      </c>
      <c r="M14" s="158">
        <v>0.34780892222660875</v>
      </c>
    </row>
    <row r="15" spans="1:13" x14ac:dyDescent="0.25">
      <c r="A15" s="133" t="s">
        <v>126</v>
      </c>
      <c r="B15" s="160"/>
      <c r="C15" s="135"/>
      <c r="D15" s="136"/>
      <c r="E15" s="153"/>
      <c r="F15" s="144">
        <v>2.38</v>
      </c>
      <c r="G15" s="145">
        <v>2.2200000000000002</v>
      </c>
      <c r="H15" s="146">
        <v>0.1599999999999997</v>
      </c>
      <c r="I15" s="147">
        <v>6.7226890756302393E-2</v>
      </c>
      <c r="J15" s="148">
        <v>0.21299999999999999</v>
      </c>
      <c r="K15" s="139">
        <v>0.19800000000000001</v>
      </c>
      <c r="L15" s="140">
        <v>1.4999999999999986E-2</v>
      </c>
      <c r="M15" s="149">
        <v>7.042253521126754E-2</v>
      </c>
    </row>
    <row r="16" spans="1:13" x14ac:dyDescent="0.25">
      <c r="A16" s="133" t="s">
        <v>127</v>
      </c>
      <c r="B16" s="150">
        <v>27.96</v>
      </c>
      <c r="C16" s="135">
        <v>12.46</v>
      </c>
      <c r="D16" s="136">
        <v>15.5</v>
      </c>
      <c r="E16" s="137">
        <v>0.55430000000000001</v>
      </c>
      <c r="F16" s="159">
        <v>4.8</v>
      </c>
      <c r="G16" s="145">
        <v>3.25</v>
      </c>
      <c r="H16" s="146">
        <v>1.5499999999999998</v>
      </c>
      <c r="I16" s="147">
        <v>0.32291666666666663</v>
      </c>
      <c r="J16" s="148">
        <v>0.96599999999999997</v>
      </c>
      <c r="K16" s="139">
        <v>0.65600000000000003</v>
      </c>
      <c r="L16" s="140">
        <v>0.30999999999999994</v>
      </c>
      <c r="M16" s="149">
        <v>0.32091097308488609</v>
      </c>
    </row>
    <row r="17" spans="1:13" x14ac:dyDescent="0.25">
      <c r="A17" s="133" t="s">
        <v>128</v>
      </c>
      <c r="B17" s="134">
        <v>144.18</v>
      </c>
      <c r="C17" s="135">
        <v>59.59</v>
      </c>
      <c r="D17" s="136">
        <v>84.59</v>
      </c>
      <c r="E17" s="137">
        <v>0.5867</v>
      </c>
      <c r="F17" s="144">
        <v>6.53</v>
      </c>
      <c r="G17" s="145">
        <v>4.57</v>
      </c>
      <c r="H17" s="146">
        <v>1.96</v>
      </c>
      <c r="I17" s="147">
        <v>0.3001531393568147</v>
      </c>
      <c r="J17" s="148">
        <v>1.337</v>
      </c>
      <c r="K17" s="139">
        <v>0.93600000000000005</v>
      </c>
      <c r="L17" s="140">
        <v>0.40099999999999991</v>
      </c>
      <c r="M17" s="149">
        <v>0.29992520568436792</v>
      </c>
    </row>
    <row r="18" spans="1:13" x14ac:dyDescent="0.25">
      <c r="A18" s="154" t="s">
        <v>129</v>
      </c>
      <c r="B18" s="134">
        <v>52.11</v>
      </c>
      <c r="C18" s="151">
        <v>32.35</v>
      </c>
      <c r="D18" s="136">
        <v>19.759999999999998</v>
      </c>
      <c r="E18" s="137">
        <v>0.37930000000000003</v>
      </c>
      <c r="F18" s="144"/>
      <c r="G18" s="157"/>
      <c r="H18" s="146"/>
      <c r="I18" s="147"/>
      <c r="J18" s="161"/>
      <c r="K18" s="157"/>
      <c r="L18" s="140"/>
      <c r="M18" s="158"/>
    </row>
    <row r="19" spans="1:13" x14ac:dyDescent="0.25">
      <c r="A19" s="133" t="s">
        <v>130</v>
      </c>
      <c r="B19" s="134">
        <v>113.98</v>
      </c>
      <c r="C19" s="135">
        <v>43.48</v>
      </c>
      <c r="D19" s="136">
        <v>70.5</v>
      </c>
      <c r="E19" s="137">
        <v>0.61850000000000005</v>
      </c>
      <c r="F19" s="144">
        <v>47</v>
      </c>
      <c r="G19" s="145">
        <v>43.71</v>
      </c>
      <c r="H19" s="146">
        <v>3.2899999999999991</v>
      </c>
      <c r="I19" s="147">
        <v>6.9999999999999979E-2</v>
      </c>
      <c r="J19" s="148">
        <v>4.2060000000000004</v>
      </c>
      <c r="K19" s="139">
        <v>3.911</v>
      </c>
      <c r="L19" s="140">
        <v>0.29500000000000037</v>
      </c>
      <c r="M19" s="149">
        <v>7.0137898240608731E-2</v>
      </c>
    </row>
    <row r="20" spans="1:13" x14ac:dyDescent="0.25">
      <c r="A20" s="133" t="s">
        <v>131</v>
      </c>
      <c r="B20" s="150">
        <v>821.21</v>
      </c>
      <c r="C20" s="135">
        <v>320.79000000000002</v>
      </c>
      <c r="D20" s="136">
        <v>500.42</v>
      </c>
      <c r="E20" s="137">
        <v>0.60940000000000005</v>
      </c>
      <c r="F20" s="144"/>
      <c r="G20" s="139"/>
      <c r="H20" s="146"/>
      <c r="I20" s="147"/>
      <c r="J20" s="142"/>
      <c r="K20" s="139"/>
      <c r="L20" s="140"/>
      <c r="M20" s="149"/>
    </row>
    <row r="21" spans="1:13" x14ac:dyDescent="0.25">
      <c r="A21" s="133" t="s">
        <v>132</v>
      </c>
      <c r="B21" s="134">
        <v>289.73</v>
      </c>
      <c r="C21" s="135">
        <v>172.13</v>
      </c>
      <c r="D21" s="136">
        <v>117.60000000000002</v>
      </c>
      <c r="E21" s="137">
        <v>0.40589999999999998</v>
      </c>
      <c r="F21" s="159">
        <v>3.05</v>
      </c>
      <c r="G21" s="145">
        <v>2.2599999999999998</v>
      </c>
      <c r="H21" s="146">
        <v>0.79</v>
      </c>
      <c r="I21" s="147">
        <v>0.25901639344262301</v>
      </c>
      <c r="J21" s="148">
        <v>0.32900000000000001</v>
      </c>
      <c r="K21" s="139">
        <v>0.20499999999999999</v>
      </c>
      <c r="L21" s="140">
        <v>0.12400000000000003</v>
      </c>
      <c r="M21" s="149">
        <v>0.37689969604863227</v>
      </c>
    </row>
    <row r="22" spans="1:13" x14ac:dyDescent="0.25">
      <c r="A22" s="154" t="s">
        <v>133</v>
      </c>
      <c r="B22" s="134">
        <v>82.17</v>
      </c>
      <c r="C22" s="151">
        <v>34.46</v>
      </c>
      <c r="D22" s="136">
        <v>47.71</v>
      </c>
      <c r="E22" s="137">
        <v>0.5806</v>
      </c>
      <c r="F22" s="144"/>
      <c r="G22" s="157"/>
      <c r="H22" s="146"/>
      <c r="I22" s="147"/>
      <c r="J22" s="161"/>
      <c r="K22" s="157"/>
      <c r="L22" s="140"/>
      <c r="M22" s="158"/>
    </row>
    <row r="23" spans="1:13" x14ac:dyDescent="0.25">
      <c r="A23" s="133" t="s">
        <v>134</v>
      </c>
      <c r="B23" s="162"/>
      <c r="C23" s="135"/>
      <c r="D23" s="136"/>
      <c r="E23" s="153"/>
      <c r="F23" s="144">
        <v>10.92</v>
      </c>
      <c r="G23" s="145">
        <v>8.9600000000000009</v>
      </c>
      <c r="H23" s="146">
        <v>1.9599999999999991</v>
      </c>
      <c r="I23" s="147">
        <v>0.1794871794871794</v>
      </c>
      <c r="J23" s="148">
        <v>0.16600000000000001</v>
      </c>
      <c r="K23" s="139">
        <v>0.13700000000000001</v>
      </c>
      <c r="L23" s="140">
        <v>2.8999999999999998E-2</v>
      </c>
      <c r="M23" s="149">
        <v>0.17469879518072287</v>
      </c>
    </row>
    <row r="24" spans="1:13" x14ac:dyDescent="0.25">
      <c r="A24" s="133" t="s">
        <v>135</v>
      </c>
      <c r="B24" s="134">
        <v>485.14</v>
      </c>
      <c r="C24" s="135">
        <v>164.64</v>
      </c>
      <c r="D24" s="136">
        <v>320.5</v>
      </c>
      <c r="E24" s="137">
        <v>0.66059999999999997</v>
      </c>
      <c r="F24" s="144">
        <v>57.57</v>
      </c>
      <c r="G24" s="145">
        <v>43.75</v>
      </c>
      <c r="H24" s="146">
        <v>13.82</v>
      </c>
      <c r="I24" s="147">
        <v>0.24005558450581901</v>
      </c>
      <c r="J24" s="148">
        <v>6.9409999999999998</v>
      </c>
      <c r="K24" s="139">
        <v>4.726</v>
      </c>
      <c r="L24" s="140">
        <v>2.2149999999999999</v>
      </c>
      <c r="M24" s="158">
        <v>0.31911828266820341</v>
      </c>
    </row>
    <row r="25" spans="1:13" x14ac:dyDescent="0.25">
      <c r="A25" s="133" t="s">
        <v>136</v>
      </c>
      <c r="B25" s="150">
        <v>21.74</v>
      </c>
      <c r="C25" s="135">
        <v>17.41</v>
      </c>
      <c r="D25" s="136">
        <v>4.3299999999999983</v>
      </c>
      <c r="E25" s="137">
        <v>0.19919999999999999</v>
      </c>
      <c r="F25" s="159">
        <v>126.53</v>
      </c>
      <c r="G25" s="145">
        <v>103.76</v>
      </c>
      <c r="H25" s="146">
        <v>22.769999999999996</v>
      </c>
      <c r="I25" s="147">
        <v>0.1799573223741405</v>
      </c>
      <c r="J25" s="148">
        <v>1.929</v>
      </c>
      <c r="K25" s="139">
        <v>1.5820000000000001</v>
      </c>
      <c r="L25" s="140">
        <v>0.34699999999999998</v>
      </c>
      <c r="M25" s="149">
        <v>0.17988595127008811</v>
      </c>
    </row>
    <row r="26" spans="1:13" x14ac:dyDescent="0.25">
      <c r="A26" s="133" t="s">
        <v>137</v>
      </c>
      <c r="B26" s="134">
        <v>283.22000000000003</v>
      </c>
      <c r="C26" s="135">
        <v>121.6</v>
      </c>
      <c r="D26" s="136">
        <v>161.62000000000003</v>
      </c>
      <c r="E26" s="137">
        <v>0.57069999999999999</v>
      </c>
      <c r="F26" s="144">
        <v>17.25</v>
      </c>
      <c r="G26" s="145">
        <v>12.08</v>
      </c>
      <c r="H26" s="146">
        <v>5.17</v>
      </c>
      <c r="I26" s="147">
        <v>0.29971014492753623</v>
      </c>
      <c r="J26" s="148">
        <v>3.532</v>
      </c>
      <c r="K26" s="139">
        <v>2.4729999999999999</v>
      </c>
      <c r="L26" s="140">
        <v>1.0590000000000002</v>
      </c>
      <c r="M26" s="149">
        <v>0.2998301245753115</v>
      </c>
    </row>
    <row r="27" spans="1:13" x14ac:dyDescent="0.25">
      <c r="A27" s="133" t="s">
        <v>138</v>
      </c>
      <c r="B27" s="162"/>
      <c r="C27" s="135"/>
      <c r="D27" s="136"/>
      <c r="E27" s="153"/>
      <c r="F27" s="144">
        <v>136.01</v>
      </c>
      <c r="G27" s="145">
        <v>104.78</v>
      </c>
      <c r="H27" s="146">
        <v>31.22999999999999</v>
      </c>
      <c r="I27" s="147">
        <v>0.22961546945077563</v>
      </c>
      <c r="J27" s="148">
        <v>9.6300000000000008</v>
      </c>
      <c r="K27" s="139">
        <v>8.3439999999999994</v>
      </c>
      <c r="L27" s="140">
        <v>1.2860000000000014</v>
      </c>
      <c r="M27" s="149">
        <v>0.13354101765316731</v>
      </c>
    </row>
    <row r="28" spans="1:13" x14ac:dyDescent="0.25">
      <c r="A28" s="133" t="s">
        <v>139</v>
      </c>
      <c r="B28" s="134">
        <v>68.28</v>
      </c>
      <c r="C28" s="135">
        <v>43.07</v>
      </c>
      <c r="D28" s="136">
        <v>25.21</v>
      </c>
      <c r="E28" s="137">
        <v>0.36919999999999997</v>
      </c>
      <c r="F28" s="144">
        <v>183.72</v>
      </c>
      <c r="G28" s="145">
        <v>149.26</v>
      </c>
      <c r="H28" s="146">
        <v>34.460000000000008</v>
      </c>
      <c r="I28" s="147">
        <v>0.1875680383191814</v>
      </c>
      <c r="J28" s="148">
        <v>9.9499999999999993</v>
      </c>
      <c r="K28" s="139">
        <v>8.6489999999999991</v>
      </c>
      <c r="L28" s="140">
        <v>1.3010000000000002</v>
      </c>
      <c r="M28" s="149">
        <v>0.13075376884422113</v>
      </c>
    </row>
    <row r="29" spans="1:13" ht="15.75" thickBot="1" x14ac:dyDescent="0.3">
      <c r="A29" s="163" t="s">
        <v>140</v>
      </c>
      <c r="B29" s="164">
        <v>461.32</v>
      </c>
      <c r="C29" s="165">
        <v>180.51</v>
      </c>
      <c r="D29" s="166">
        <v>280.81</v>
      </c>
      <c r="E29" s="167">
        <v>0.60870000000000002</v>
      </c>
      <c r="F29" s="163"/>
      <c r="G29" s="168"/>
      <c r="H29" s="169"/>
      <c r="I29" s="170"/>
      <c r="J29" s="171"/>
      <c r="K29" s="168"/>
      <c r="L29" s="169"/>
      <c r="M29" s="170"/>
    </row>
    <row r="30" spans="1:13" ht="15.75" thickBot="1" x14ac:dyDescent="0.3">
      <c r="A30" s="172"/>
      <c r="B30" s="172"/>
      <c r="C30" s="173"/>
      <c r="D30" s="173"/>
      <c r="E30" s="173"/>
      <c r="F30" s="174"/>
      <c r="G30" s="174"/>
      <c r="H30" s="174"/>
      <c r="I30" s="174"/>
      <c r="J30" s="174"/>
      <c r="K30" s="174"/>
      <c r="L30" s="174"/>
      <c r="M30" s="174"/>
    </row>
    <row r="31" spans="1:13" x14ac:dyDescent="0.25">
      <c r="A31" s="175"/>
      <c r="B31" s="438" t="s">
        <v>106</v>
      </c>
      <c r="C31" s="439"/>
      <c r="D31" s="439"/>
      <c r="E31" s="440"/>
      <c r="F31" s="441" t="s">
        <v>107</v>
      </c>
      <c r="G31" s="442"/>
      <c r="H31" s="442"/>
      <c r="I31" s="443"/>
      <c r="J31" s="441" t="s">
        <v>108</v>
      </c>
      <c r="K31" s="442"/>
      <c r="L31" s="442"/>
      <c r="M31" s="443"/>
    </row>
    <row r="32" spans="1:13" ht="32.25" customHeight="1" x14ac:dyDescent="0.25">
      <c r="A32" s="176" t="s">
        <v>141</v>
      </c>
      <c r="B32" s="127" t="s">
        <v>142</v>
      </c>
      <c r="C32" s="130" t="s">
        <v>143</v>
      </c>
      <c r="D32" s="128" t="s">
        <v>111</v>
      </c>
      <c r="E32" s="129" t="s">
        <v>144</v>
      </c>
      <c r="F32" s="127" t="s">
        <v>188</v>
      </c>
      <c r="G32" s="177" t="s">
        <v>145</v>
      </c>
      <c r="H32" s="128" t="s">
        <v>114</v>
      </c>
      <c r="I32" s="131" t="s">
        <v>115</v>
      </c>
      <c r="J32" s="127" t="s">
        <v>189</v>
      </c>
      <c r="K32" s="177" t="s">
        <v>146</v>
      </c>
      <c r="L32" s="128" t="s">
        <v>114</v>
      </c>
      <c r="M32" s="129" t="s">
        <v>115</v>
      </c>
    </row>
    <row r="33" spans="1:13" x14ac:dyDescent="0.25">
      <c r="A33" s="133" t="s">
        <v>122</v>
      </c>
      <c r="B33" s="134">
        <v>8791.41</v>
      </c>
      <c r="C33" s="178">
        <v>4193.24</v>
      </c>
      <c r="D33" s="136">
        <v>4598.17</v>
      </c>
      <c r="E33" s="179">
        <v>0.52300000000000002</v>
      </c>
      <c r="F33" s="133">
        <v>137.13</v>
      </c>
      <c r="G33" s="180">
        <v>68.56</v>
      </c>
      <c r="H33" s="181">
        <v>68.569999999999993</v>
      </c>
      <c r="I33" s="179">
        <v>0.50003646175162253</v>
      </c>
      <c r="J33" s="133">
        <v>2.742</v>
      </c>
      <c r="K33" s="180">
        <v>1.3720000000000001</v>
      </c>
      <c r="L33" s="140">
        <v>1.3699999999999999</v>
      </c>
      <c r="M33" s="182">
        <v>0.49963530269876</v>
      </c>
    </row>
    <row r="34" spans="1:13" x14ac:dyDescent="0.25">
      <c r="A34" s="154" t="s">
        <v>147</v>
      </c>
      <c r="B34" s="150">
        <v>840.1</v>
      </c>
      <c r="C34" s="183">
        <v>405.41</v>
      </c>
      <c r="D34" s="136">
        <v>434.69</v>
      </c>
      <c r="E34" s="184">
        <v>0.51739999999999997</v>
      </c>
      <c r="F34" s="154">
        <v>13.26</v>
      </c>
      <c r="G34" s="185">
        <v>6.63</v>
      </c>
      <c r="H34" s="181">
        <v>6.63</v>
      </c>
      <c r="I34" s="184">
        <v>0.5</v>
      </c>
      <c r="J34" s="154">
        <v>0.45200000000000001</v>
      </c>
      <c r="K34" s="185">
        <v>0.151</v>
      </c>
      <c r="L34" s="140">
        <v>0.30100000000000005</v>
      </c>
      <c r="M34" s="184">
        <v>0.6659292035398231</v>
      </c>
    </row>
    <row r="35" spans="1:13" x14ac:dyDescent="0.25">
      <c r="A35" s="154" t="s">
        <v>126</v>
      </c>
      <c r="B35" s="150">
        <v>6751.63</v>
      </c>
      <c r="C35" s="183">
        <v>3312.06</v>
      </c>
      <c r="D35" s="136">
        <v>3439.57</v>
      </c>
      <c r="E35" s="184">
        <v>0.50939999999999996</v>
      </c>
      <c r="F35" s="154">
        <v>157.97</v>
      </c>
      <c r="G35" s="185">
        <v>97.83</v>
      </c>
      <c r="H35" s="181">
        <v>60.14</v>
      </c>
      <c r="I35" s="184">
        <v>0.38070519718933976</v>
      </c>
      <c r="J35" s="154">
        <v>21.516999999999999</v>
      </c>
      <c r="K35" s="185">
        <v>3.7309999999999999</v>
      </c>
      <c r="L35" s="140">
        <v>17.786000000000001</v>
      </c>
      <c r="M35" s="184">
        <v>0.82660222149927975</v>
      </c>
    </row>
    <row r="36" spans="1:13" x14ac:dyDescent="0.25">
      <c r="A36" s="154" t="s">
        <v>148</v>
      </c>
      <c r="B36" s="150">
        <v>4709.6499999999996</v>
      </c>
      <c r="C36" s="183">
        <v>2118.7199999999998</v>
      </c>
      <c r="D36" s="136">
        <v>2590.9299999999998</v>
      </c>
      <c r="E36" s="184">
        <v>0.55010000000000003</v>
      </c>
      <c r="F36" s="154">
        <v>77.03</v>
      </c>
      <c r="G36" s="185">
        <v>38.520000000000003</v>
      </c>
      <c r="H36" s="181">
        <v>38.51</v>
      </c>
      <c r="I36" s="184">
        <v>0.49993509022458776</v>
      </c>
      <c r="J36" s="154">
        <v>27.707999999999998</v>
      </c>
      <c r="K36" s="185">
        <v>2.87</v>
      </c>
      <c r="L36" s="140">
        <v>24.837999999999997</v>
      </c>
      <c r="M36" s="184">
        <v>0.89641980655406373</v>
      </c>
    </row>
    <row r="37" spans="1:13" ht="15.75" thickBot="1" x14ac:dyDescent="0.3">
      <c r="A37" s="163" t="s">
        <v>130</v>
      </c>
      <c r="B37" s="163"/>
      <c r="C37" s="186"/>
      <c r="D37" s="166"/>
      <c r="E37" s="187"/>
      <c r="F37" s="163">
        <v>4.32</v>
      </c>
      <c r="G37" s="186">
        <v>4.32</v>
      </c>
      <c r="H37" s="188">
        <v>0</v>
      </c>
      <c r="I37" s="189">
        <v>0</v>
      </c>
      <c r="J37" s="163">
        <v>8.2000000000000003E-2</v>
      </c>
      <c r="K37" s="186">
        <v>8.2000000000000003E-2</v>
      </c>
      <c r="L37" s="146">
        <v>0</v>
      </c>
      <c r="M37" s="189">
        <v>0</v>
      </c>
    </row>
    <row r="38" spans="1:13" ht="15.75" thickBot="1" x14ac:dyDescent="0.3">
      <c r="A38" s="190"/>
      <c r="B38" s="191"/>
      <c r="C38" s="192"/>
      <c r="D38" s="192"/>
      <c r="E38" s="193"/>
      <c r="F38" s="194"/>
      <c r="G38" s="194"/>
      <c r="H38" s="194"/>
      <c r="I38" s="194"/>
      <c r="J38" s="192"/>
      <c r="K38" s="194"/>
      <c r="L38" s="194"/>
      <c r="M38" s="195"/>
    </row>
    <row r="39" spans="1:13" x14ac:dyDescent="0.25">
      <c r="A39" s="175"/>
      <c r="B39" s="438" t="s">
        <v>106</v>
      </c>
      <c r="C39" s="439"/>
      <c r="D39" s="439"/>
      <c r="E39" s="440"/>
      <c r="F39" s="441" t="s">
        <v>107</v>
      </c>
      <c r="G39" s="442"/>
      <c r="H39" s="442"/>
      <c r="I39" s="443"/>
      <c r="J39" s="441" t="s">
        <v>108</v>
      </c>
      <c r="K39" s="442"/>
      <c r="L39" s="442"/>
      <c r="M39" s="443"/>
    </row>
    <row r="40" spans="1:13" ht="32.25" customHeight="1" x14ac:dyDescent="0.25">
      <c r="A40" s="176" t="s">
        <v>149</v>
      </c>
      <c r="B40" s="127" t="s">
        <v>150</v>
      </c>
      <c r="C40" s="130" t="s">
        <v>151</v>
      </c>
      <c r="D40" s="128" t="s">
        <v>111</v>
      </c>
      <c r="E40" s="129" t="s">
        <v>152</v>
      </c>
      <c r="F40" s="127" t="s">
        <v>190</v>
      </c>
      <c r="G40" s="177" t="s">
        <v>153</v>
      </c>
      <c r="H40" s="128" t="s">
        <v>114</v>
      </c>
      <c r="I40" s="131" t="s">
        <v>115</v>
      </c>
      <c r="J40" s="127" t="s">
        <v>191</v>
      </c>
      <c r="K40" s="177" t="s">
        <v>154</v>
      </c>
      <c r="L40" s="128" t="s">
        <v>114</v>
      </c>
      <c r="M40" s="129" t="s">
        <v>115</v>
      </c>
    </row>
    <row r="41" spans="1:13" x14ac:dyDescent="0.25">
      <c r="A41" s="133" t="s">
        <v>155</v>
      </c>
      <c r="B41" s="134">
        <v>463.65</v>
      </c>
      <c r="C41" s="178">
        <v>140.02000000000001</v>
      </c>
      <c r="D41" s="136">
        <v>323.63</v>
      </c>
      <c r="E41" s="179">
        <v>0.69799999999999995</v>
      </c>
      <c r="F41" s="133">
        <v>9.16</v>
      </c>
      <c r="G41" s="196">
        <v>4.58</v>
      </c>
      <c r="H41" s="181">
        <v>4.58</v>
      </c>
      <c r="I41" s="179">
        <v>0.5</v>
      </c>
      <c r="J41" s="133">
        <v>0.32200000000000001</v>
      </c>
      <c r="K41" s="180">
        <v>0.13500000000000001</v>
      </c>
      <c r="L41" s="140">
        <v>0.187</v>
      </c>
      <c r="M41" s="179">
        <v>0.58074534161490676</v>
      </c>
    </row>
    <row r="42" spans="1:13" x14ac:dyDescent="0.25">
      <c r="A42" s="154" t="s">
        <v>156</v>
      </c>
      <c r="B42" s="150">
        <v>4220.43</v>
      </c>
      <c r="C42" s="183">
        <v>2305.87</v>
      </c>
      <c r="D42" s="136">
        <v>1914.5600000000004</v>
      </c>
      <c r="E42" s="184">
        <v>0.4536</v>
      </c>
      <c r="F42" s="154">
        <v>122.01</v>
      </c>
      <c r="G42" s="197">
        <v>61.01</v>
      </c>
      <c r="H42" s="181">
        <v>61.000000000000007</v>
      </c>
      <c r="I42" s="184">
        <v>0.49995901975247936</v>
      </c>
      <c r="J42" s="154">
        <v>15.218999999999999</v>
      </c>
      <c r="K42" s="185">
        <v>5.5570000000000004</v>
      </c>
      <c r="L42" s="140">
        <v>9.661999999999999</v>
      </c>
      <c r="M42" s="184">
        <v>0.63486431434391222</v>
      </c>
    </row>
    <row r="43" spans="1:13" x14ac:dyDescent="0.25">
      <c r="A43" s="154" t="s">
        <v>126</v>
      </c>
      <c r="B43" s="150"/>
      <c r="C43" s="183"/>
      <c r="D43" s="136"/>
      <c r="E43" s="153"/>
      <c r="F43" s="154">
        <v>2.17</v>
      </c>
      <c r="G43" s="197">
        <v>2.17</v>
      </c>
      <c r="H43" s="198">
        <v>0</v>
      </c>
      <c r="I43" s="184">
        <v>0</v>
      </c>
      <c r="J43" s="154">
        <v>5.5E-2</v>
      </c>
      <c r="K43" s="185">
        <v>5.5E-2</v>
      </c>
      <c r="L43" s="140">
        <v>0</v>
      </c>
      <c r="M43" s="184">
        <v>0</v>
      </c>
    </row>
    <row r="44" spans="1:13" x14ac:dyDescent="0.25">
      <c r="A44" s="154" t="s">
        <v>157</v>
      </c>
      <c r="B44" s="150">
        <v>2634.66</v>
      </c>
      <c r="C44" s="183">
        <v>1620.44</v>
      </c>
      <c r="D44" s="136">
        <v>1014.2199999999998</v>
      </c>
      <c r="E44" s="184">
        <v>0.38500000000000001</v>
      </c>
      <c r="F44" s="154">
        <v>96.47</v>
      </c>
      <c r="G44" s="197">
        <v>49.9</v>
      </c>
      <c r="H44" s="181">
        <v>46.57</v>
      </c>
      <c r="I44" s="184">
        <v>0.48274074841919767</v>
      </c>
      <c r="J44" s="154">
        <v>15.731999999999999</v>
      </c>
      <c r="K44" s="185">
        <v>7.3330000000000002</v>
      </c>
      <c r="L44" s="140">
        <v>8.3989999999999991</v>
      </c>
      <c r="M44" s="184">
        <v>0.53387998982964657</v>
      </c>
    </row>
    <row r="45" spans="1:13" x14ac:dyDescent="0.25">
      <c r="A45" s="154" t="s">
        <v>158</v>
      </c>
      <c r="B45" s="150">
        <v>13616.33</v>
      </c>
      <c r="C45" s="183">
        <v>4842.8100000000004</v>
      </c>
      <c r="D45" s="136">
        <v>8773.52</v>
      </c>
      <c r="E45" s="184">
        <v>0.64429999999999998</v>
      </c>
      <c r="F45" s="199">
        <v>262.76</v>
      </c>
      <c r="G45" s="200">
        <v>128.47</v>
      </c>
      <c r="H45" s="181">
        <v>134.29</v>
      </c>
      <c r="I45" s="201">
        <v>0.51107474501446182</v>
      </c>
      <c r="J45" s="154">
        <v>25.875</v>
      </c>
      <c r="K45" s="185">
        <v>7.9649999999999999</v>
      </c>
      <c r="L45" s="140">
        <v>17.91</v>
      </c>
      <c r="M45" s="184">
        <v>0.69217391304347831</v>
      </c>
    </row>
    <row r="46" spans="1:13" x14ac:dyDescent="0.25">
      <c r="A46" s="154" t="s">
        <v>148</v>
      </c>
      <c r="B46" s="150">
        <v>6746.5</v>
      </c>
      <c r="C46" s="183">
        <v>2986.66</v>
      </c>
      <c r="D46" s="136">
        <v>3759.84</v>
      </c>
      <c r="E46" s="184">
        <v>0.55730000000000002</v>
      </c>
      <c r="F46" s="133">
        <v>167.06</v>
      </c>
      <c r="G46" s="196">
        <v>83.83</v>
      </c>
      <c r="H46" s="181">
        <v>83.23</v>
      </c>
      <c r="I46" s="179">
        <v>0.49820423799832397</v>
      </c>
      <c r="J46" s="154">
        <v>41.915999999999997</v>
      </c>
      <c r="K46" s="185">
        <v>13.374000000000001</v>
      </c>
      <c r="L46" s="140">
        <v>28.541999999999994</v>
      </c>
      <c r="M46" s="184">
        <v>0.68093329516175205</v>
      </c>
    </row>
    <row r="47" spans="1:13" x14ac:dyDescent="0.25">
      <c r="A47" s="154" t="s">
        <v>159</v>
      </c>
      <c r="B47" s="150">
        <v>1913.97</v>
      </c>
      <c r="C47" s="183">
        <v>1008.6</v>
      </c>
      <c r="D47" s="136">
        <v>905.37</v>
      </c>
      <c r="E47" s="184">
        <v>0.47299999999999998</v>
      </c>
      <c r="F47" s="154">
        <v>53.56</v>
      </c>
      <c r="G47" s="185">
        <v>26.61</v>
      </c>
      <c r="H47" s="181">
        <v>26.950000000000003</v>
      </c>
      <c r="I47" s="184">
        <v>0.50317401045556387</v>
      </c>
      <c r="J47" s="154">
        <v>0.65</v>
      </c>
      <c r="K47" s="185">
        <v>0.29199999999999998</v>
      </c>
      <c r="L47" s="140">
        <v>0.35800000000000004</v>
      </c>
      <c r="M47" s="184">
        <v>0.55076923076923079</v>
      </c>
    </row>
    <row r="48" spans="1:13" x14ac:dyDescent="0.25">
      <c r="A48" s="154" t="s">
        <v>160</v>
      </c>
      <c r="B48" s="150">
        <v>3584.76</v>
      </c>
      <c r="C48" s="183">
        <v>1410.29</v>
      </c>
      <c r="D48" s="136">
        <v>2174.4700000000003</v>
      </c>
      <c r="E48" s="184">
        <v>0.60660000000000003</v>
      </c>
      <c r="F48" s="154">
        <v>71.23</v>
      </c>
      <c r="G48" s="185">
        <v>33.36</v>
      </c>
      <c r="H48" s="181">
        <v>37.870000000000005</v>
      </c>
      <c r="I48" s="184">
        <v>0.53165800926575879</v>
      </c>
      <c r="J48" s="154">
        <v>0.79800000000000004</v>
      </c>
      <c r="K48" s="185">
        <v>0.35899999999999999</v>
      </c>
      <c r="L48" s="140">
        <v>0.43900000000000006</v>
      </c>
      <c r="M48" s="184">
        <v>0.55012531328320802</v>
      </c>
    </row>
    <row r="49" spans="1:13" ht="15.75" thickBot="1" x14ac:dyDescent="0.3">
      <c r="A49" s="163" t="s">
        <v>161</v>
      </c>
      <c r="B49" s="164">
        <v>562.29</v>
      </c>
      <c r="C49" s="202">
        <v>192.63</v>
      </c>
      <c r="D49" s="166">
        <v>369.65999999999997</v>
      </c>
      <c r="E49" s="189">
        <v>0.65739999999999998</v>
      </c>
      <c r="F49" s="163">
        <v>9.24</v>
      </c>
      <c r="G49" s="186">
        <v>4.3600000000000003</v>
      </c>
      <c r="H49" s="203">
        <v>4.88</v>
      </c>
      <c r="I49" s="189">
        <v>0.52813852813852813</v>
      </c>
      <c r="J49" s="163">
        <v>0.112</v>
      </c>
      <c r="K49" s="186">
        <v>0.05</v>
      </c>
      <c r="L49" s="169">
        <v>6.2E-2</v>
      </c>
      <c r="M49" s="189">
        <v>0.5535714285714286</v>
      </c>
    </row>
    <row r="50" spans="1:13" ht="12" customHeight="1" x14ac:dyDescent="0.25">
      <c r="A50" s="172"/>
      <c r="B50" s="172"/>
      <c r="C50" s="204"/>
      <c r="D50" s="204"/>
      <c r="E50" s="204"/>
      <c r="F50" s="205"/>
      <c r="G50" s="205"/>
      <c r="H50" s="205"/>
      <c r="I50" s="205"/>
      <c r="J50" s="125"/>
      <c r="K50" s="206"/>
      <c r="L50" s="206"/>
      <c r="M50" s="206"/>
    </row>
    <row r="51" spans="1:13" ht="32.25" customHeight="1" x14ac:dyDescent="0.25">
      <c r="A51" s="451" t="s">
        <v>162</v>
      </c>
      <c r="B51" s="451"/>
      <c r="C51" s="451"/>
      <c r="D51" s="450" t="s">
        <v>163</v>
      </c>
      <c r="E51" s="450"/>
      <c r="F51" s="450"/>
      <c r="G51" s="450"/>
      <c r="H51" s="450"/>
      <c r="I51" s="450"/>
      <c r="J51" s="450"/>
      <c r="K51" s="207"/>
      <c r="L51" s="207"/>
      <c r="M51" s="125"/>
    </row>
    <row r="52" spans="1:13" ht="4.5" customHeight="1" x14ac:dyDescent="0.25">
      <c r="A52" s="207" t="s">
        <v>164</v>
      </c>
      <c r="B52" s="207"/>
      <c r="C52" s="207"/>
      <c r="D52" s="207"/>
      <c r="E52" s="207"/>
      <c r="F52" s="450"/>
      <c r="G52" s="450"/>
      <c r="H52" s="450"/>
      <c r="I52" s="450"/>
      <c r="J52" s="450"/>
      <c r="K52" s="450"/>
      <c r="L52" s="450"/>
      <c r="M52" s="450"/>
    </row>
    <row r="53" spans="1:13" x14ac:dyDescent="0.25">
      <c r="A53" s="208" t="s">
        <v>165</v>
      </c>
      <c r="B53" s="208"/>
      <c r="C53" s="208"/>
      <c r="D53" s="209" t="s">
        <v>166</v>
      </c>
      <c r="E53" s="208"/>
      <c r="F53" s="125"/>
      <c r="G53" s="125"/>
      <c r="H53" s="209"/>
      <c r="I53" s="208" t="s">
        <v>167</v>
      </c>
      <c r="J53" s="125"/>
      <c r="K53" s="209"/>
      <c r="L53" s="125"/>
      <c r="M53" s="125"/>
    </row>
    <row r="54" spans="1:13" x14ac:dyDescent="0.25">
      <c r="A54" s="208" t="s">
        <v>168</v>
      </c>
      <c r="B54" s="208"/>
      <c r="C54" s="208"/>
      <c r="D54" s="209" t="s">
        <v>169</v>
      </c>
      <c r="E54" s="208"/>
      <c r="F54" s="125"/>
      <c r="G54" s="125"/>
      <c r="H54" s="209"/>
      <c r="I54" s="208" t="s">
        <v>170</v>
      </c>
      <c r="J54" s="125"/>
      <c r="K54" s="209"/>
      <c r="L54" s="125"/>
      <c r="M54" s="125"/>
    </row>
    <row r="55" spans="1:13" x14ac:dyDescent="0.25">
      <c r="A55" s="208" t="s">
        <v>171</v>
      </c>
      <c r="B55" s="208"/>
      <c r="C55" s="208"/>
      <c r="D55" s="209" t="s">
        <v>172</v>
      </c>
      <c r="E55" s="208"/>
      <c r="F55" s="125"/>
      <c r="G55" s="125"/>
      <c r="H55" s="209"/>
      <c r="I55" s="208" t="s">
        <v>173</v>
      </c>
      <c r="J55" s="125"/>
      <c r="K55" s="209"/>
      <c r="L55" s="125"/>
      <c r="M55" s="125"/>
    </row>
    <row r="56" spans="1:13" x14ac:dyDescent="0.25">
      <c r="A56" s="208" t="s">
        <v>174</v>
      </c>
      <c r="B56" s="208"/>
      <c r="C56" s="208"/>
      <c r="D56" s="209" t="s">
        <v>175</v>
      </c>
      <c r="E56" s="208"/>
      <c r="F56" s="125"/>
      <c r="G56" s="125"/>
      <c r="H56" s="209"/>
      <c r="I56" s="208" t="s">
        <v>176</v>
      </c>
      <c r="J56" s="125"/>
      <c r="K56" s="209"/>
      <c r="L56" s="125"/>
      <c r="M56" s="125"/>
    </row>
    <row r="57" spans="1:13" x14ac:dyDescent="0.25">
      <c r="A57" s="449" t="s">
        <v>177</v>
      </c>
      <c r="B57" s="449"/>
      <c r="C57" s="210"/>
      <c r="D57" s="209" t="s">
        <v>178</v>
      </c>
      <c r="E57" s="210"/>
      <c r="F57" s="125"/>
      <c r="G57" s="125"/>
      <c r="H57" s="209"/>
      <c r="I57" s="208" t="s">
        <v>179</v>
      </c>
      <c r="J57" s="125"/>
      <c r="K57" s="209"/>
      <c r="L57" s="125"/>
      <c r="M57" s="125"/>
    </row>
    <row r="58" spans="1:13" x14ac:dyDescent="0.25">
      <c r="A58" s="449"/>
      <c r="B58" s="449"/>
      <c r="C58" s="207"/>
      <c r="D58" s="209" t="s">
        <v>180</v>
      </c>
      <c r="E58" s="125"/>
      <c r="F58" s="125"/>
      <c r="G58" s="125"/>
      <c r="H58" s="209"/>
      <c r="I58" s="209" t="s">
        <v>181</v>
      </c>
      <c r="J58" s="125"/>
      <c r="K58" s="209"/>
      <c r="L58" s="125"/>
      <c r="M58" s="125"/>
    </row>
    <row r="59" spans="1:13" x14ac:dyDescent="0.25">
      <c r="A59" s="449"/>
      <c r="B59" s="449"/>
      <c r="C59" s="449"/>
      <c r="D59" s="208" t="s">
        <v>182</v>
      </c>
      <c r="E59" s="209"/>
      <c r="F59" s="125"/>
      <c r="G59" s="125"/>
      <c r="H59" s="208"/>
      <c r="I59" s="208" t="s">
        <v>183</v>
      </c>
      <c r="J59" s="125"/>
      <c r="K59" s="208"/>
      <c r="L59" s="208"/>
      <c r="M59" s="208"/>
    </row>
    <row r="60" spans="1:13" x14ac:dyDescent="0.25">
      <c r="A60" s="449"/>
      <c r="B60" s="449"/>
      <c r="C60" s="211"/>
      <c r="D60" s="125"/>
      <c r="E60" s="125"/>
      <c r="F60" s="125"/>
      <c r="G60" s="125"/>
      <c r="H60" s="208"/>
      <c r="I60" s="208"/>
      <c r="J60" s="208"/>
      <c r="K60" s="208"/>
      <c r="L60" s="208"/>
      <c r="M60" s="208"/>
    </row>
  </sheetData>
  <sheetProtection sheet="1" objects="1" scenarios="1"/>
  <mergeCells count="17">
    <mergeCell ref="A60:B60"/>
    <mergeCell ref="F52:M52"/>
    <mergeCell ref="A51:C51"/>
    <mergeCell ref="D51:J51"/>
    <mergeCell ref="A57:B58"/>
    <mergeCell ref="A59:C59"/>
    <mergeCell ref="A1:M2"/>
    <mergeCell ref="A3:K3"/>
    <mergeCell ref="B4:E4"/>
    <mergeCell ref="F4:I4"/>
    <mergeCell ref="J4:M4"/>
    <mergeCell ref="B31:E31"/>
    <mergeCell ref="F31:I31"/>
    <mergeCell ref="J31:M31"/>
    <mergeCell ref="B39:E39"/>
    <mergeCell ref="F39:I39"/>
    <mergeCell ref="J39:M39"/>
  </mergeCells>
  <pageMargins left="0.7" right="0.7" top="0.75" bottom="0.75" header="0.3" footer="0.3"/>
  <pageSetup paperSize="17" scale="73" orientation="landscape" r:id="rId1"/>
  <headerFooter>
    <oddHeader xml:space="preserve">&amp;C
</oddHeader>
    <oddFooter>&amp;RChristina Basin Loading Rates Tool (May 12,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
  <sheetViews>
    <sheetView view="pageLayout" zoomScaleNormal="100" workbookViewId="0">
      <selection activeCell="B7" sqref="B7"/>
    </sheetView>
  </sheetViews>
  <sheetFormatPr defaultRowHeight="15" x14ac:dyDescent="0.25"/>
  <cols>
    <col min="1" max="1" width="13.42578125" customWidth="1"/>
    <col min="2" max="2" width="76.42578125" customWidth="1"/>
    <col min="3" max="3" width="1.42578125" customWidth="1"/>
  </cols>
  <sheetData>
    <row r="1" spans="1:14" x14ac:dyDescent="0.25">
      <c r="A1" s="116" t="s">
        <v>242</v>
      </c>
      <c r="B1" s="117"/>
    </row>
    <row r="2" spans="1:14" ht="18.75" customHeight="1" x14ac:dyDescent="0.25">
      <c r="A2" s="392" t="str">
        <f>CONCATENATE("Watershed: ",'Christina Basin MapShed Output'!C15)</f>
        <v>Watershed: Red Clay</v>
      </c>
      <c r="B2" s="393"/>
    </row>
    <row r="3" spans="1:14" ht="26.25" customHeight="1" x14ac:dyDescent="0.3">
      <c r="A3" s="351" t="str">
        <f>CONCATENATE("Year: ",'Christina Basin MapShed Output'!C16)</f>
        <v>Year: 2012</v>
      </c>
      <c r="B3" s="120"/>
    </row>
    <row r="4" spans="1:14" s="330" customFormat="1" ht="18" customHeight="1" x14ac:dyDescent="0.3">
      <c r="A4" s="352" t="s">
        <v>261</v>
      </c>
      <c r="B4" s="343"/>
    </row>
    <row r="5" spans="1:14" ht="114.75" customHeight="1" x14ac:dyDescent="0.25">
      <c r="A5" s="346" t="s">
        <v>243</v>
      </c>
      <c r="B5" s="341" t="s">
        <v>316</v>
      </c>
    </row>
    <row r="6" spans="1:14" ht="72" customHeight="1" x14ac:dyDescent="0.25">
      <c r="A6" s="345" t="s">
        <v>102</v>
      </c>
      <c r="B6" s="341" t="s">
        <v>244</v>
      </c>
    </row>
    <row r="7" spans="1:14" ht="69" customHeight="1" x14ac:dyDescent="0.25">
      <c r="A7" s="341"/>
      <c r="B7" s="341" t="s">
        <v>333</v>
      </c>
    </row>
    <row r="8" spans="1:14" ht="35.25" customHeight="1" x14ac:dyDescent="0.25">
      <c r="A8" s="341"/>
      <c r="B8" s="341" t="s">
        <v>245</v>
      </c>
    </row>
    <row r="9" spans="1:14" x14ac:dyDescent="0.25">
      <c r="A9" s="117"/>
      <c r="B9" s="117"/>
    </row>
    <row r="10" spans="1:14" x14ac:dyDescent="0.25">
      <c r="A10" s="118" t="s">
        <v>103</v>
      </c>
      <c r="B10" s="117"/>
      <c r="C10" s="115"/>
      <c r="D10" s="115"/>
      <c r="E10" s="115"/>
      <c r="F10" s="115"/>
      <c r="G10" s="115"/>
      <c r="H10" s="115"/>
      <c r="I10" s="115"/>
      <c r="J10" s="115"/>
      <c r="K10" s="115"/>
      <c r="L10" s="115"/>
      <c r="M10" s="115"/>
      <c r="N10" s="115"/>
    </row>
    <row r="11" spans="1:14" s="330" customFormat="1" ht="96" customHeight="1" x14ac:dyDescent="0.25">
      <c r="A11" s="342"/>
      <c r="B11" s="119" t="s">
        <v>317</v>
      </c>
      <c r="C11" s="340"/>
      <c r="D11" s="340"/>
      <c r="E11" s="340"/>
      <c r="F11" s="340"/>
      <c r="G11" s="340"/>
      <c r="H11" s="340"/>
      <c r="I11" s="340"/>
      <c r="J11" s="340"/>
      <c r="K11" s="340"/>
      <c r="L11" s="340"/>
      <c r="M11" s="340"/>
      <c r="N11" s="340"/>
    </row>
    <row r="12" spans="1:14" s="330" customFormat="1" ht="85.5" customHeight="1" x14ac:dyDescent="0.25">
      <c r="A12" s="342"/>
      <c r="B12" s="117" t="s">
        <v>318</v>
      </c>
      <c r="C12" s="340"/>
      <c r="D12" s="340"/>
      <c r="E12" s="340"/>
      <c r="F12" s="340"/>
      <c r="G12" s="340"/>
      <c r="H12" s="340"/>
      <c r="I12" s="340"/>
      <c r="J12" s="340"/>
      <c r="K12" s="340"/>
      <c r="L12" s="340"/>
      <c r="M12" s="340"/>
      <c r="N12" s="340"/>
    </row>
    <row r="13" spans="1:14" ht="141.75" customHeight="1" x14ac:dyDescent="0.25">
      <c r="B13" s="117" t="s">
        <v>319</v>
      </c>
      <c r="C13" s="115"/>
      <c r="D13" s="115"/>
      <c r="E13" s="115"/>
      <c r="F13" s="115"/>
      <c r="G13" s="115"/>
      <c r="H13" s="115"/>
      <c r="I13" s="115"/>
      <c r="J13" s="115"/>
      <c r="K13" s="115"/>
      <c r="L13" s="115"/>
      <c r="M13" s="115"/>
      <c r="N13" s="115"/>
    </row>
    <row r="14" spans="1:14" ht="52.5" customHeight="1" x14ac:dyDescent="0.25">
      <c r="A14" s="117"/>
      <c r="B14" s="117" t="s">
        <v>246</v>
      </c>
    </row>
    <row r="15" spans="1:14" ht="38.25" customHeight="1" x14ac:dyDescent="0.25">
      <c r="B15" s="117" t="s">
        <v>321</v>
      </c>
    </row>
    <row r="16" spans="1:14" ht="51.75" customHeight="1" x14ac:dyDescent="0.25">
      <c r="B16" s="117" t="s">
        <v>247</v>
      </c>
    </row>
    <row r="17" spans="2:2" ht="65.25" customHeight="1" x14ac:dyDescent="0.25">
      <c r="B17" s="117" t="s">
        <v>326</v>
      </c>
    </row>
  </sheetData>
  <mergeCells count="1">
    <mergeCell ref="A2:B2"/>
  </mergeCells>
  <pageMargins left="0.7" right="0.7" top="0.75" bottom="0.75" header="0.3" footer="0.3"/>
  <pageSetup orientation="portrait" r:id="rId1"/>
  <headerFooter>
    <oddHeader>&amp;L&amp;"-,Bold"&amp;14Look-Up Table: Christina Basin MapShed Land Use Loading Rates</oddHeader>
    <oddFooter>&amp;L&amp;"Arial,Regular"&amp;9Section 1: Instructions and O&amp;Overview&amp;C&amp;"Arial,Regular"&amp;9Page &amp;P of &amp;N&amp;R&amp;"Arial,Regular"&amp;9Christina Basin Loading Rates Tool (May 12,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48"/>
  <sheetViews>
    <sheetView view="pageLayout" zoomScale="80" zoomScaleNormal="90" zoomScalePageLayoutView="80" workbookViewId="0">
      <selection activeCell="P9" sqref="P9"/>
    </sheetView>
  </sheetViews>
  <sheetFormatPr defaultColWidth="8.85546875" defaultRowHeight="12.75" x14ac:dyDescent="0.2"/>
  <cols>
    <col min="1" max="1" width="3.28515625" style="1" customWidth="1"/>
    <col min="2" max="2" width="13.7109375" style="1" customWidth="1"/>
    <col min="3" max="3" width="9.5703125" style="1" customWidth="1"/>
    <col min="4" max="5" width="8.7109375" style="1" hidden="1" customWidth="1"/>
    <col min="6" max="6" width="1.5703125" style="1" customWidth="1"/>
    <col min="7" max="7" width="10" style="1" customWidth="1"/>
    <col min="8" max="8" width="9.28515625" style="1" hidden="1" customWidth="1"/>
    <col min="9" max="9" width="1.5703125" style="1" customWidth="1"/>
    <col min="10" max="10" width="11.28515625" style="1" customWidth="1"/>
    <col min="11" max="11" width="8.7109375" style="1" hidden="1" customWidth="1"/>
    <col min="12" max="12" width="1.5703125" style="1" customWidth="1"/>
    <col min="13" max="13" width="11.85546875" style="1" customWidth="1"/>
    <col min="14" max="14" width="3.140625" style="1" customWidth="1"/>
    <col min="15" max="15" width="11.85546875" style="1" customWidth="1"/>
    <col min="16" max="16" width="10.28515625" style="112" customWidth="1"/>
    <col min="17" max="17" width="11.28515625" style="1" customWidth="1"/>
    <col min="18" max="18" width="1.7109375" style="1" customWidth="1"/>
    <col min="19" max="19" width="10.140625" style="1" customWidth="1"/>
    <col min="20" max="20" width="10.5703125" style="1" customWidth="1"/>
    <col min="21" max="21" width="10.85546875" style="1" customWidth="1"/>
    <col min="22" max="22" width="10.5703125" style="1" customWidth="1"/>
    <col min="23" max="23" width="1.7109375" style="1" customWidth="1"/>
    <col min="24" max="24" width="10.42578125" style="1" customWidth="1"/>
    <col min="25" max="25" width="10.28515625" style="1" customWidth="1"/>
    <col min="26" max="26" width="10.85546875" style="1" customWidth="1"/>
    <col min="27" max="27" width="14" style="1" customWidth="1"/>
    <col min="28" max="28" width="14.7109375" style="1" customWidth="1"/>
    <col min="29" max="16384" width="8.85546875" style="1"/>
  </cols>
  <sheetData>
    <row r="1" spans="1:33" ht="15.75" x14ac:dyDescent="0.25">
      <c r="A1" s="331" t="s">
        <v>253</v>
      </c>
      <c r="B1" s="331"/>
      <c r="C1" s="331"/>
      <c r="D1" s="331"/>
      <c r="E1" s="331"/>
      <c r="F1" s="331"/>
      <c r="G1" s="331"/>
      <c r="H1" s="331"/>
      <c r="I1" s="331"/>
      <c r="J1" s="331"/>
    </row>
    <row r="2" spans="1:33" ht="6.6" customHeight="1" x14ac:dyDescent="0.25"/>
    <row r="3" spans="1:33" ht="15.75" x14ac:dyDescent="0.25">
      <c r="A3" s="331" t="str">
        <f>CONCATENATE("Watershed: ",'Christina Basin MapShed Output'!B3)</f>
        <v>Watershed: Red Clay</v>
      </c>
      <c r="B3" s="331"/>
      <c r="C3" s="331"/>
    </row>
    <row r="4" spans="1:33" ht="6.6" customHeight="1" x14ac:dyDescent="0.25">
      <c r="A4" s="331"/>
      <c r="B4" s="331"/>
      <c r="C4" s="331"/>
    </row>
    <row r="5" spans="1:33" ht="15.75" x14ac:dyDescent="0.25">
      <c r="A5" s="331" t="str">
        <f>CONCATENATE("Year: ",'Christina Basin MapShed Output'!C16)</f>
        <v>Year: 2012</v>
      </c>
      <c r="B5" s="331"/>
      <c r="C5" s="331"/>
      <c r="D5" s="4"/>
      <c r="E5" s="4"/>
      <c r="F5" s="394"/>
      <c r="G5" s="394"/>
    </row>
    <row r="6" spans="1:33" ht="17.25" customHeight="1" x14ac:dyDescent="0.25">
      <c r="A6" s="1" t="str">
        <f>CONCATENATE("Source File: ",'Christina Basin MapShed Output'!$C$14)</f>
        <v>Source File: 2012RCnewrun_noatten-Summary_sum.csv</v>
      </c>
      <c r="D6" s="4"/>
      <c r="E6" s="4"/>
      <c r="F6" s="301"/>
      <c r="G6" s="301"/>
    </row>
    <row r="7" spans="1:33" ht="8.4499999999999993" customHeight="1" x14ac:dyDescent="0.25">
      <c r="A7" s="98"/>
      <c r="D7" s="4"/>
      <c r="E7" s="4"/>
      <c r="F7" s="98"/>
      <c r="G7" s="4"/>
    </row>
    <row r="8" spans="1:33" ht="17.45" x14ac:dyDescent="0.3">
      <c r="A8" s="300" t="s">
        <v>320</v>
      </c>
      <c r="C8" s="100"/>
      <c r="D8" s="101"/>
      <c r="E8" s="101"/>
      <c r="F8" s="300"/>
      <c r="G8" s="100"/>
    </row>
    <row r="9" spans="1:33" ht="8.4499999999999993" customHeight="1" x14ac:dyDescent="0.25"/>
    <row r="10" spans="1:33" ht="7.9" customHeight="1" x14ac:dyDescent="0.25">
      <c r="B10" s="6"/>
      <c r="C10" s="9"/>
      <c r="D10" s="9"/>
      <c r="E10" s="9"/>
      <c r="F10" s="9"/>
      <c r="G10" s="9"/>
      <c r="H10" s="9"/>
      <c r="I10" s="9"/>
      <c r="J10" s="9"/>
      <c r="K10" s="9"/>
      <c r="L10" s="9"/>
      <c r="M10" s="9"/>
    </row>
    <row r="11" spans="1:33" ht="30" customHeight="1" x14ac:dyDescent="0.25">
      <c r="B11" s="400" t="s">
        <v>193</v>
      </c>
      <c r="C11" s="400"/>
      <c r="D11" s="400"/>
      <c r="E11" s="400"/>
      <c r="F11" s="400"/>
      <c r="G11" s="400"/>
      <c r="H11" s="400"/>
      <c r="I11" s="400"/>
      <c r="J11" s="400"/>
      <c r="K11" s="400"/>
      <c r="L11" s="400"/>
      <c r="M11" s="400"/>
      <c r="O11" s="395" t="s">
        <v>201</v>
      </c>
      <c r="P11" s="396"/>
      <c r="Q11" s="396"/>
      <c r="R11" s="396"/>
      <c r="S11" s="396"/>
      <c r="T11" s="396"/>
      <c r="U11" s="396"/>
      <c r="V11" s="396"/>
      <c r="W11" s="396"/>
      <c r="X11" s="396"/>
      <c r="Y11" s="396"/>
      <c r="Z11" s="396"/>
      <c r="AA11" s="396"/>
      <c r="AB11" s="396"/>
      <c r="AC11" s="4"/>
      <c r="AD11" s="4"/>
      <c r="AE11" s="4"/>
      <c r="AF11" s="4"/>
      <c r="AG11" s="4"/>
    </row>
    <row r="12" spans="1:33" ht="7.15" customHeight="1" x14ac:dyDescent="0.25"/>
    <row r="13" spans="1:33" ht="18.600000000000001" customHeight="1" thickBot="1" x14ac:dyDescent="0.25">
      <c r="B13" s="302"/>
      <c r="C13" s="26"/>
      <c r="D13" s="26"/>
      <c r="E13" s="26"/>
      <c r="F13" s="26"/>
      <c r="G13" s="26"/>
      <c r="H13" s="26"/>
      <c r="I13" s="26"/>
      <c r="J13" s="26"/>
      <c r="K13" s="26"/>
      <c r="L13" s="26"/>
      <c r="M13" s="31"/>
      <c r="O13" s="397" t="s">
        <v>43</v>
      </c>
      <c r="P13" s="398"/>
      <c r="Q13" s="399"/>
      <c r="R13" s="27"/>
      <c r="S13" s="397" t="s">
        <v>44</v>
      </c>
      <c r="T13" s="398"/>
      <c r="U13" s="398"/>
      <c r="V13" s="399"/>
      <c r="W13" s="27"/>
      <c r="X13" s="397" t="s">
        <v>45</v>
      </c>
      <c r="Y13" s="398"/>
      <c r="Z13" s="398"/>
      <c r="AA13" s="399"/>
    </row>
    <row r="14" spans="1:33" ht="56.45" customHeight="1" x14ac:dyDescent="0.2">
      <c r="B14" s="226" t="s">
        <v>0</v>
      </c>
      <c r="C14" s="227" t="s">
        <v>1</v>
      </c>
      <c r="D14" s="228" t="s">
        <v>2</v>
      </c>
      <c r="E14" s="228" t="s">
        <v>3</v>
      </c>
      <c r="F14" s="228"/>
      <c r="G14" s="228" t="s">
        <v>4</v>
      </c>
      <c r="H14" s="228" t="s">
        <v>5</v>
      </c>
      <c r="I14" s="228"/>
      <c r="J14" s="228" t="s">
        <v>37</v>
      </c>
      <c r="K14" s="228" t="s">
        <v>7</v>
      </c>
      <c r="L14" s="228"/>
      <c r="M14" s="229" t="s">
        <v>38</v>
      </c>
      <c r="O14" s="365" t="s">
        <v>208</v>
      </c>
      <c r="P14" s="32" t="s">
        <v>241</v>
      </c>
      <c r="Q14" s="303" t="s">
        <v>41</v>
      </c>
      <c r="R14" s="371"/>
      <c r="S14" s="365" t="s">
        <v>48</v>
      </c>
      <c r="T14" s="32" t="s">
        <v>196</v>
      </c>
      <c r="U14" s="32" t="s">
        <v>197</v>
      </c>
      <c r="V14" s="303" t="s">
        <v>46</v>
      </c>
      <c r="W14" s="371"/>
      <c r="X14" s="365" t="s">
        <v>48</v>
      </c>
      <c r="Y14" s="32" t="s">
        <v>196</v>
      </c>
      <c r="Z14" s="32" t="s">
        <v>195</v>
      </c>
      <c r="AA14" s="303" t="s">
        <v>47</v>
      </c>
      <c r="AC14" s="4"/>
      <c r="AD14" s="4"/>
      <c r="AE14" s="4"/>
      <c r="AF14" s="4"/>
    </row>
    <row r="15" spans="1:33" ht="15" customHeight="1" x14ac:dyDescent="0.2">
      <c r="B15" s="20" t="s">
        <v>36</v>
      </c>
      <c r="C15" s="17" t="s">
        <v>87</v>
      </c>
      <c r="D15" s="18" t="s">
        <v>33</v>
      </c>
      <c r="E15" s="18" t="s">
        <v>34</v>
      </c>
      <c r="F15" s="18"/>
      <c r="G15" s="18" t="s">
        <v>34</v>
      </c>
      <c r="H15" s="18" t="s">
        <v>35</v>
      </c>
      <c r="I15" s="18"/>
      <c r="J15" s="18" t="s">
        <v>35</v>
      </c>
      <c r="K15" s="18" t="s">
        <v>35</v>
      </c>
      <c r="L15" s="18"/>
      <c r="M15" s="19" t="s">
        <v>35</v>
      </c>
      <c r="O15" s="366" t="s">
        <v>40</v>
      </c>
      <c r="P15" s="114" t="s">
        <v>40</v>
      </c>
      <c r="Q15" s="310" t="s">
        <v>40</v>
      </c>
      <c r="R15" s="372"/>
      <c r="S15" s="366" t="s">
        <v>40</v>
      </c>
      <c r="T15" s="114" t="s">
        <v>40</v>
      </c>
      <c r="U15" s="114" t="s">
        <v>40</v>
      </c>
      <c r="V15" s="310" t="s">
        <v>40</v>
      </c>
      <c r="W15" s="372"/>
      <c r="X15" s="366" t="s">
        <v>40</v>
      </c>
      <c r="Y15" s="114" t="s">
        <v>40</v>
      </c>
      <c r="Z15" s="114" t="s">
        <v>40</v>
      </c>
      <c r="AA15" s="310" t="s">
        <v>40</v>
      </c>
    </row>
    <row r="16" spans="1:33" ht="24.6" customHeight="1" x14ac:dyDescent="0.2">
      <c r="B16" s="36"/>
      <c r="C16" s="18"/>
      <c r="D16" s="18"/>
      <c r="E16" s="18"/>
      <c r="F16" s="18"/>
      <c r="G16" s="18"/>
      <c r="H16" s="18"/>
      <c r="I16" s="18"/>
      <c r="J16" s="18"/>
      <c r="K16" s="18"/>
      <c r="L16" s="18"/>
      <c r="M16" s="19"/>
      <c r="O16" s="367" t="s">
        <v>42</v>
      </c>
      <c r="P16" s="113"/>
      <c r="Q16" s="313" t="s">
        <v>198</v>
      </c>
      <c r="R16" s="373"/>
      <c r="S16" s="367" t="s">
        <v>42</v>
      </c>
      <c r="T16" s="25"/>
      <c r="U16" s="35"/>
      <c r="V16" s="313" t="s">
        <v>199</v>
      </c>
      <c r="W16" s="373"/>
      <c r="X16" s="375" t="s">
        <v>42</v>
      </c>
      <c r="Y16" s="25"/>
      <c r="Z16" s="35"/>
      <c r="AA16" s="313" t="s">
        <v>199</v>
      </c>
    </row>
    <row r="17" spans="1:33" ht="13.15" customHeight="1" x14ac:dyDescent="0.2">
      <c r="A17" s="401" t="s">
        <v>192</v>
      </c>
      <c r="B17" s="12" t="s">
        <v>9</v>
      </c>
      <c r="C17" s="97">
        <f>+'Christina Basin MapShed Output'!C22</f>
        <v>84</v>
      </c>
      <c r="D17" s="12">
        <f>+'Christina Basin MapShed Output'!D22</f>
        <v>1.75</v>
      </c>
      <c r="E17" s="12">
        <f>+'Christina Basin MapShed Output'!E22</f>
        <v>38.08</v>
      </c>
      <c r="F17" s="12"/>
      <c r="G17" s="12">
        <f>+'Christina Basin MapShed Output'!F22</f>
        <v>4.84</v>
      </c>
      <c r="H17" s="12">
        <f>+'Christina Basin MapShed Output'!G22</f>
        <v>24.93</v>
      </c>
      <c r="I17" s="12"/>
      <c r="J17" s="12">
        <f>+'Christina Basin MapShed Output'!H22</f>
        <v>44.29</v>
      </c>
      <c r="K17" s="12">
        <f>+'Christina Basin MapShed Output'!I22</f>
        <v>8.66</v>
      </c>
      <c r="L17" s="12"/>
      <c r="M17" s="12">
        <f>+'Christina Basin MapShed Output'!J22</f>
        <v>14.9</v>
      </c>
      <c r="O17" s="368">
        <f>IF(LoadsTable[[#This Row],[Column2]]=0,0,(G17*2000/C17))</f>
        <v>115.23809523809524</v>
      </c>
      <c r="P17" s="80">
        <f>IF(LoadsTable[[#This Row],[Column2]]=0,0,'Stream Bank SedimentLoadingRate'!C$165)</f>
        <v>214.94576489794966</v>
      </c>
      <c r="Q17" s="311">
        <f>SUM(O17:P17)</f>
        <v>330.18386013604493</v>
      </c>
      <c r="R17" s="11"/>
      <c r="S17" s="368">
        <f>IF(LoadsTable[[#This Row],[Column2]]=0,0,ROUND((J17/C17),2))</f>
        <v>0.53</v>
      </c>
      <c r="T17" s="77">
        <f>IF(LoadsTable[[#This Row],[Column2]]=0,0,ROUND('Stream Bank Nitrogen Loading'!C162,2))</f>
        <v>0.11</v>
      </c>
      <c r="U17" s="77">
        <f>IF(LoadsTable[[#This Row],[Column2]]=0,0,ROUND('Farm Animal TN and TP Loading'!$D$35,2))</f>
        <v>0.11</v>
      </c>
      <c r="V17" s="305">
        <f>SUM(S17:U17)</f>
        <v>0.75</v>
      </c>
      <c r="W17" s="11"/>
      <c r="X17" s="376">
        <f>IF(LoadsTable[[#This Row],[Column2]]=0,0,ROUND((M17/C17),2))</f>
        <v>0.18</v>
      </c>
      <c r="Y17" s="33">
        <f>IF(LoadsTable[[#This Row],[Column2]]=0,0,ROUND('Stream Bank Phosphorus Loading'!C$162,2))</f>
        <v>0.04</v>
      </c>
      <c r="Z17" s="77">
        <f>IF(LoadsTable[[#This Row],[Column2]]=0,0,ROUND('Farm Animal TN and TP Loading'!$E$35,2))</f>
        <v>0.04</v>
      </c>
      <c r="AA17" s="314">
        <f>SUM(X17:Z17)</f>
        <v>0.26</v>
      </c>
      <c r="AB17" s="315" t="s">
        <v>9</v>
      </c>
      <c r="AC17" s="4"/>
      <c r="AD17" s="4"/>
      <c r="AE17" s="4"/>
      <c r="AF17" s="4"/>
      <c r="AG17" s="4"/>
    </row>
    <row r="18" spans="1:33" x14ac:dyDescent="0.2">
      <c r="A18" s="402"/>
      <c r="B18" s="12" t="s">
        <v>10</v>
      </c>
      <c r="C18" s="97">
        <f>+'Christina Basin MapShed Output'!C23</f>
        <v>9449.2999999999993</v>
      </c>
      <c r="D18" s="12">
        <f>+'Christina Basin MapShed Output'!D23</f>
        <v>4.17</v>
      </c>
      <c r="E18" s="12">
        <f>+'Christina Basin MapShed Output'!E23</f>
        <v>60208.44</v>
      </c>
      <c r="F18" s="12"/>
      <c r="G18" s="12">
        <f>+'Christina Basin MapShed Output'!F23</f>
        <v>8545.5</v>
      </c>
      <c r="H18" s="12">
        <f>+'Christina Basin MapShed Output'!G23</f>
        <v>25835.96</v>
      </c>
      <c r="I18" s="12"/>
      <c r="J18" s="12">
        <f>+'Christina Basin MapShed Output'!H23</f>
        <v>59984.76</v>
      </c>
      <c r="K18" s="12">
        <f>+'Christina Basin MapShed Output'!I23</f>
        <v>2651.85</v>
      </c>
      <c r="L18" s="12"/>
      <c r="M18" s="12">
        <f>+'Christina Basin MapShed Output'!J23</f>
        <v>15649.8</v>
      </c>
      <c r="O18" s="369">
        <f>IF(LoadsTable[[#This Row],[Column2]]=0,0,(G18*2000/C18))</f>
        <v>1808.7054067497065</v>
      </c>
      <c r="P18" s="34">
        <f>IF(LoadsTable[[#This Row],[Column2]]=0,0,'Stream Bank SedimentLoadingRate'!C$165)</f>
        <v>214.94576489794966</v>
      </c>
      <c r="Q18" s="307">
        <f t="shared" ref="Q18:Q32" si="0">SUM(O18:P18)</f>
        <v>2023.6511716476562</v>
      </c>
      <c r="R18" s="11"/>
      <c r="S18" s="374">
        <f>IF(LoadsTable[[#This Row],[Column2]]=0,0,ROUND((J18/C18),2))</f>
        <v>6.35</v>
      </c>
      <c r="T18" s="78">
        <f>IF(LoadsTable[[#This Row],[Column2]]=0,0,ROUND('Stream Bank Nitrogen Loading'!C162,2))</f>
        <v>0.11</v>
      </c>
      <c r="U18" s="78">
        <f>IF(LoadsTable[[#This Row],[Column2]]=0,0,ROUND('Farm Animal TN and TP Loading'!$D$35,2))</f>
        <v>0.11</v>
      </c>
      <c r="V18" s="304">
        <f t="shared" ref="V18:V32" si="1">SUM(S18:U18)</f>
        <v>6.57</v>
      </c>
      <c r="W18" s="11"/>
      <c r="X18" s="374">
        <f>IF(LoadsTable[[#This Row],[Column2]]=0,0,ROUND((M18/C18),2))</f>
        <v>1.66</v>
      </c>
      <c r="Y18" s="34">
        <f>IF(LoadsTable[[#This Row],[Column2]]=0,0,ROUND('Stream Bank Phosphorus Loading'!C$162,2))</f>
        <v>0.04</v>
      </c>
      <c r="Z18" s="78">
        <f>IF(LoadsTable[[#This Row],[Column2]]=0,0,ROUND('Farm Animal TN and TP Loading'!$E$35,2))</f>
        <v>0.04</v>
      </c>
      <c r="AA18" s="312">
        <f t="shared" ref="AA18:AA32" si="2">SUM(X18:Z18)</f>
        <v>1.74</v>
      </c>
      <c r="AB18" s="265" t="s">
        <v>10</v>
      </c>
    </row>
    <row r="19" spans="1:33" x14ac:dyDescent="0.2">
      <c r="A19" s="402"/>
      <c r="B19" s="12" t="s">
        <v>11</v>
      </c>
      <c r="C19" s="97">
        <f>+'Christina Basin MapShed Output'!C24</f>
        <v>7665.2</v>
      </c>
      <c r="D19" s="12">
        <f>+'Christina Basin MapShed Output'!D24</f>
        <v>1.38</v>
      </c>
      <c r="E19" s="12">
        <f>+'Christina Basin MapShed Output'!E24</f>
        <v>524.53</v>
      </c>
      <c r="F19" s="12"/>
      <c r="G19" s="12">
        <f>+'Christina Basin MapShed Output'!F24</f>
        <v>70.64</v>
      </c>
      <c r="H19" s="12">
        <f>+'Christina Basin MapShed Output'!G24</f>
        <v>455.14</v>
      </c>
      <c r="I19" s="12"/>
      <c r="J19" s="12">
        <f>+'Christina Basin MapShed Output'!H24</f>
        <v>737.71</v>
      </c>
      <c r="K19" s="12">
        <f>+'Christina Basin MapShed Output'!I24</f>
        <v>23.94</v>
      </c>
      <c r="L19" s="12"/>
      <c r="M19" s="12">
        <f>+'Christina Basin MapShed Output'!J24</f>
        <v>123.77</v>
      </c>
      <c r="O19" s="368">
        <f>IF(LoadsTable[[#This Row],[Column2]]=0,0,(G19*2000/C19))</f>
        <v>18.431352084746649</v>
      </c>
      <c r="P19" s="80">
        <f>IF(LoadsTable[[#This Row],[Column2]]=0,0,'Stream Bank SedimentLoadingRate'!C$165)</f>
        <v>214.94576489794966</v>
      </c>
      <c r="Q19" s="311">
        <f t="shared" si="0"/>
        <v>233.37711698269629</v>
      </c>
      <c r="R19" s="11"/>
      <c r="S19" s="368">
        <f>IF(LoadsTable[[#This Row],[Column2]]=0,0,ROUND((J19/C19),2))</f>
        <v>0.1</v>
      </c>
      <c r="T19" s="77">
        <f>IF(LoadsTable[[#This Row],[Column2]]=0,0,ROUND('Stream Bank Nitrogen Loading'!C162,2))</f>
        <v>0.11</v>
      </c>
      <c r="U19" s="77" t="s">
        <v>96</v>
      </c>
      <c r="V19" s="305">
        <f>SUM(S19:U19)</f>
        <v>0.21000000000000002</v>
      </c>
      <c r="W19" s="11"/>
      <c r="X19" s="368">
        <f>IF(LoadsTable[[#This Row],[Column2]]=0,0,ROUND((M19/C19),2))</f>
        <v>0.02</v>
      </c>
      <c r="Y19" s="80">
        <f>IF(LoadsTable[[#This Row],[Column2]]=0,0,ROUND('Stream Bank Phosphorus Loading'!C$162,2))</f>
        <v>0.04</v>
      </c>
      <c r="Z19" s="77" t="s">
        <v>96</v>
      </c>
      <c r="AA19" s="309">
        <f t="shared" si="2"/>
        <v>0.06</v>
      </c>
      <c r="AB19" s="232" t="s">
        <v>11</v>
      </c>
    </row>
    <row r="20" spans="1:33" x14ac:dyDescent="0.2">
      <c r="A20" s="402"/>
      <c r="B20" s="12" t="s">
        <v>12</v>
      </c>
      <c r="C20" s="97">
        <f>+'Christina Basin MapShed Output'!C25</f>
        <v>61.8</v>
      </c>
      <c r="D20" s="12">
        <f>+'Christina Basin MapShed Output'!D25</f>
        <v>10.02</v>
      </c>
      <c r="E20" s="12">
        <f>+'Christina Basin MapShed Output'!E25</f>
        <v>0.26</v>
      </c>
      <c r="F20" s="12"/>
      <c r="G20" s="12">
        <f>+'Christina Basin MapShed Output'!F25</f>
        <v>0.03</v>
      </c>
      <c r="H20" s="12">
        <f>+'Christina Basin MapShed Output'!G25</f>
        <v>26.65</v>
      </c>
      <c r="I20" s="12"/>
      <c r="J20" s="12">
        <f>+'Christina Basin MapShed Output'!H25</f>
        <v>26.79</v>
      </c>
      <c r="K20" s="12">
        <f>+'Christina Basin MapShed Output'!I25</f>
        <v>1.41</v>
      </c>
      <c r="L20" s="12"/>
      <c r="M20" s="12">
        <f>+'Christina Basin MapShed Output'!J25</f>
        <v>1.46</v>
      </c>
      <c r="O20" s="369">
        <f>IF(LoadsTable[[#This Row],[Column2]]=0,0,(G20*2000/C20))</f>
        <v>0.970873786407767</v>
      </c>
      <c r="P20" s="34">
        <f>IF(LoadsTable[[#This Row],[Column2]]=0,0,'Stream Bank SedimentLoadingRate'!C$165)</f>
        <v>214.94576489794966</v>
      </c>
      <c r="Q20" s="307">
        <f t="shared" si="0"/>
        <v>215.91663868435742</v>
      </c>
      <c r="R20" s="11"/>
      <c r="S20" s="369">
        <f>IF(LoadsTable[[#This Row],[Column2]]=0,0,ROUND((J20/C20),2))</f>
        <v>0.43</v>
      </c>
      <c r="T20" s="364">
        <f>IF(LoadsTable[[#This Row],[Column2]]=0,0,ROUND('Stream Bank Nitrogen Loading'!C162,2))</f>
        <v>0.11</v>
      </c>
      <c r="U20" s="78" t="s">
        <v>96</v>
      </c>
      <c r="V20" s="304">
        <f t="shared" si="1"/>
        <v>0.54</v>
      </c>
      <c r="W20" s="11"/>
      <c r="X20" s="369">
        <f>IF(LoadsTable[[#This Row],[Column2]]=0,0,ROUND((M20/C20),2))</f>
        <v>0.02</v>
      </c>
      <c r="Y20" s="34">
        <f>IF(LoadsTable[[#This Row],[Column2]]=0,0,ROUND('Stream Bank Phosphorus Loading'!C$162,2))</f>
        <v>0.04</v>
      </c>
      <c r="Z20" s="78" t="s">
        <v>96</v>
      </c>
      <c r="AA20" s="312">
        <f t="shared" si="2"/>
        <v>0.06</v>
      </c>
      <c r="AB20" s="265" t="s">
        <v>12</v>
      </c>
    </row>
    <row r="21" spans="1:33" x14ac:dyDescent="0.2">
      <c r="A21" s="402"/>
      <c r="B21" s="12" t="s">
        <v>13</v>
      </c>
      <c r="C21" s="97">
        <f>+'Christina Basin MapShed Output'!C26</f>
        <v>872.3</v>
      </c>
      <c r="D21" s="12">
        <f>+'Christina Basin MapShed Output'!D26</f>
        <v>8.57</v>
      </c>
      <c r="E21" s="12">
        <f>+'Christina Basin MapShed Output'!E26</f>
        <v>202.35</v>
      </c>
      <c r="F21" s="12"/>
      <c r="G21" s="12">
        <f>+'Christina Basin MapShed Output'!F26</f>
        <v>30.95</v>
      </c>
      <c r="H21" s="12">
        <f>+'Christina Basin MapShed Output'!G26</f>
        <v>33.909999999999997</v>
      </c>
      <c r="I21" s="12"/>
      <c r="J21" s="12">
        <f>+'Christina Basin MapShed Output'!H26</f>
        <v>157.69999999999999</v>
      </c>
      <c r="K21" s="12">
        <f>+'Christina Basin MapShed Output'!I26</f>
        <v>16.93</v>
      </c>
      <c r="L21" s="12"/>
      <c r="M21" s="12">
        <f>+'Christina Basin MapShed Output'!J26</f>
        <v>65.08</v>
      </c>
      <c r="O21" s="368">
        <f>IF(LoadsTable[[#This Row],[Column2]]=0,0,(G21*2000/C21))</f>
        <v>70.961825060185717</v>
      </c>
      <c r="P21" s="80">
        <f>IF(LoadsTable[[#This Row],[Column2]]=0,0,'Stream Bank SedimentLoadingRate'!C$165)</f>
        <v>214.94576489794966</v>
      </c>
      <c r="Q21" s="311">
        <f t="shared" si="0"/>
        <v>285.90758995813536</v>
      </c>
      <c r="R21" s="11"/>
      <c r="S21" s="368">
        <f>IF(LoadsTable[[#This Row],[Column2]]=0,0,ROUND((J21/C21),2))</f>
        <v>0.18</v>
      </c>
      <c r="T21" s="77">
        <f>IF(LoadsTable[[#This Row],[Column2]]=0,0,ROUND('Stream Bank Nitrogen Loading'!C162,2))</f>
        <v>0.11</v>
      </c>
      <c r="U21" s="77" t="s">
        <v>96</v>
      </c>
      <c r="V21" s="305">
        <f t="shared" si="1"/>
        <v>0.28999999999999998</v>
      </c>
      <c r="W21" s="11"/>
      <c r="X21" s="368">
        <f>IF(LoadsTable[[#This Row],[Column2]]=0,0,ROUND((M21/C21),2))</f>
        <v>7.0000000000000007E-2</v>
      </c>
      <c r="Y21" s="80">
        <f>IF(LoadsTable[[#This Row],[Column2]]=0,0,ROUND('Stream Bank Phosphorus Loading'!C$162,2))</f>
        <v>0.04</v>
      </c>
      <c r="Z21" s="77" t="s">
        <v>96</v>
      </c>
      <c r="AA21" s="309">
        <f t="shared" si="2"/>
        <v>0.11000000000000001</v>
      </c>
      <c r="AB21" s="232" t="s">
        <v>13</v>
      </c>
      <c r="AD21" s="4"/>
      <c r="AE21" s="4"/>
      <c r="AF21" s="4"/>
      <c r="AG21" s="4"/>
    </row>
    <row r="22" spans="1:33" x14ac:dyDescent="0.2">
      <c r="A22" s="402"/>
      <c r="B22" s="12" t="s">
        <v>14</v>
      </c>
      <c r="C22" s="97">
        <f>+'Christina Basin MapShed Output'!C27</f>
        <v>1193.5</v>
      </c>
      <c r="D22" s="12">
        <f>+'Christina Basin MapShed Output'!D27</f>
        <v>1.17</v>
      </c>
      <c r="E22" s="12">
        <f>+'Christina Basin MapShed Output'!E27</f>
        <v>228.76</v>
      </c>
      <c r="F22" s="12"/>
      <c r="G22" s="12">
        <f>+'Christina Basin MapShed Output'!F27</f>
        <v>31.11</v>
      </c>
      <c r="H22" s="12">
        <f>+'Christina Basin MapShed Output'!G27</f>
        <v>790.73</v>
      </c>
      <c r="I22" s="12"/>
      <c r="J22" s="12">
        <f>+'Christina Basin MapShed Output'!H27</f>
        <v>915.18</v>
      </c>
      <c r="K22" s="12">
        <f>+'Christina Basin MapShed Output'!I27</f>
        <v>491.19</v>
      </c>
      <c r="L22" s="12"/>
      <c r="M22" s="12">
        <f>+'Christina Basin MapShed Output'!J27</f>
        <v>535.13</v>
      </c>
      <c r="O22" s="369">
        <f>IF(LoadsTable[[#This Row],[Column2]]=0,0,(G22*2000/C22))</f>
        <v>52.132383745286972</v>
      </c>
      <c r="P22" s="34">
        <f>IF(LoadsTable[[#This Row],[Column2]]=0,0,'Stream Bank SedimentLoadingRate'!C$165)</f>
        <v>214.94576489794966</v>
      </c>
      <c r="Q22" s="307">
        <f t="shared" si="0"/>
        <v>267.07814864323666</v>
      </c>
      <c r="R22" s="11"/>
      <c r="S22" s="369">
        <f>IF(LoadsTable[[#This Row],[Column2]]=0,0,ROUND((J22/C22),2))</f>
        <v>0.77</v>
      </c>
      <c r="T22" s="78">
        <f>IF(LoadsTable[[#This Row],[Column2]]=0,0,ROUND('Stream Bank Nitrogen Loading'!C162,2))</f>
        <v>0.11</v>
      </c>
      <c r="U22" s="78" t="s">
        <v>96</v>
      </c>
      <c r="V22" s="304">
        <f t="shared" si="1"/>
        <v>0.88</v>
      </c>
      <c r="W22" s="11"/>
      <c r="X22" s="369">
        <f>IF(LoadsTable[[#This Row],[Column2]]=0,0,ROUND((M22/C22),2))</f>
        <v>0.45</v>
      </c>
      <c r="Y22" s="34">
        <f>IF(LoadsTable[[#This Row],[Column2]]=0,0,ROUND('Stream Bank Phosphorus Loading'!C$162,2))</f>
        <v>0.04</v>
      </c>
      <c r="Z22" s="78" t="s">
        <v>96</v>
      </c>
      <c r="AA22" s="312">
        <f t="shared" si="2"/>
        <v>0.49</v>
      </c>
      <c r="AB22" s="265" t="s">
        <v>14</v>
      </c>
      <c r="AD22" s="4"/>
      <c r="AE22" s="4"/>
      <c r="AF22" s="4"/>
      <c r="AG22" s="4"/>
    </row>
    <row r="23" spans="1:33" x14ac:dyDescent="0.2">
      <c r="A23" s="402"/>
      <c r="B23" s="12" t="s">
        <v>15</v>
      </c>
      <c r="C23" s="97">
        <f>+'Christina Basin MapShed Output'!C28</f>
        <v>108.7</v>
      </c>
      <c r="D23" s="12">
        <f>+'Christina Basin MapShed Output'!D28</f>
        <v>6.85</v>
      </c>
      <c r="E23" s="12">
        <f>+'Christina Basin MapShed Output'!E28</f>
        <v>108.71</v>
      </c>
      <c r="F23" s="12"/>
      <c r="G23" s="12">
        <f>+'Christina Basin MapShed Output'!F28</f>
        <v>13.81</v>
      </c>
      <c r="H23" s="12">
        <f>+'Christina Basin MapShed Output'!G28</f>
        <v>84.41</v>
      </c>
      <c r="I23" s="12"/>
      <c r="J23" s="12">
        <f>+'Christina Basin MapShed Output'!H28</f>
        <v>139.63999999999999</v>
      </c>
      <c r="K23" s="12">
        <f>+'Christina Basin MapShed Output'!I28</f>
        <v>1.7</v>
      </c>
      <c r="L23" s="12"/>
      <c r="M23" s="12">
        <f>+'Christina Basin MapShed Output'!J28</f>
        <v>19.489999999999998</v>
      </c>
      <c r="O23" s="368">
        <f>IF(LoadsTable[[#This Row],[Column2]]=0,0,(G23*2000/C23))</f>
        <v>254.09383624655013</v>
      </c>
      <c r="P23" s="80">
        <f>IF(LoadsTable[[#This Row],[Column2]]=0,0,'Stream Bank SedimentLoadingRate'!C$165)</f>
        <v>214.94576489794966</v>
      </c>
      <c r="Q23" s="311">
        <f t="shared" si="0"/>
        <v>469.03960114449978</v>
      </c>
      <c r="R23" s="11"/>
      <c r="S23" s="368">
        <f>IF(LoadsTable[[#This Row],[Column2]]=0,0,ROUND((J23/C23),2))</f>
        <v>1.28</v>
      </c>
      <c r="T23" s="77">
        <f>IF(LoadsTable[[#This Row],[Column2]]=0,0,ROUND('Stream Bank Nitrogen Loading'!C162,2))</f>
        <v>0.11</v>
      </c>
      <c r="U23" s="77" t="s">
        <v>96</v>
      </c>
      <c r="V23" s="305">
        <f t="shared" si="1"/>
        <v>1.3900000000000001</v>
      </c>
      <c r="W23" s="11"/>
      <c r="X23" s="368">
        <f>IF(LoadsTable[[#This Row],[Column2]]=0,0,ROUND((M23/C23),2))</f>
        <v>0.18</v>
      </c>
      <c r="Y23" s="80">
        <f>IF(LoadsTable[[#This Row],[Column2]]=0,0,ROUND('Stream Bank Phosphorus Loading'!C$162,2))</f>
        <v>0.04</v>
      </c>
      <c r="Z23" s="77" t="s">
        <v>96</v>
      </c>
      <c r="AA23" s="309">
        <f t="shared" si="2"/>
        <v>0.22</v>
      </c>
      <c r="AB23" s="232" t="s">
        <v>15</v>
      </c>
      <c r="AD23" s="4"/>
      <c r="AE23" s="4"/>
      <c r="AF23" s="4"/>
      <c r="AG23" s="4"/>
    </row>
    <row r="24" spans="1:33" x14ac:dyDescent="0.2">
      <c r="A24" s="402"/>
      <c r="B24" s="12" t="s">
        <v>16</v>
      </c>
      <c r="C24" s="97">
        <f>+'Christina Basin MapShed Output'!C29</f>
        <v>0</v>
      </c>
      <c r="D24" s="12">
        <f>+'Christina Basin MapShed Output'!D29</f>
        <v>0</v>
      </c>
      <c r="E24" s="12">
        <f>+'Christina Basin MapShed Output'!E29</f>
        <v>0</v>
      </c>
      <c r="F24" s="12"/>
      <c r="G24" s="12">
        <f>+'Christina Basin MapShed Output'!F29</f>
        <v>0</v>
      </c>
      <c r="H24" s="12">
        <f>+'Christina Basin MapShed Output'!G29</f>
        <v>0</v>
      </c>
      <c r="I24" s="12"/>
      <c r="J24" s="12">
        <f>+'Christina Basin MapShed Output'!H29</f>
        <v>0</v>
      </c>
      <c r="K24" s="12">
        <f>+'Christina Basin MapShed Output'!I29</f>
        <v>0</v>
      </c>
      <c r="L24" s="12"/>
      <c r="M24" s="12">
        <f>+'Christina Basin MapShed Output'!J29</f>
        <v>0</v>
      </c>
      <c r="O24" s="369">
        <f>IF(LoadsTable[[#This Row],[Column2]]=0,0,(G24*2000/C24))</f>
        <v>0</v>
      </c>
      <c r="P24" s="34">
        <f>IF(LoadsTable[[#This Row],[Column2]]=0,0,'Stream Bank SedimentLoadingRate'!C$165)</f>
        <v>0</v>
      </c>
      <c r="Q24" s="307">
        <f t="shared" si="0"/>
        <v>0</v>
      </c>
      <c r="R24" s="11"/>
      <c r="S24" s="369">
        <f>IF(LoadsTable[[#This Row],[Column2]]=0,0,ROUND((J24/C24),2))</f>
        <v>0</v>
      </c>
      <c r="T24" s="78">
        <f>IF(LoadsTable[[#This Row],[Column2]]=0,0,ROUND('Stream Bank Nitrogen Loading'!C162,2))</f>
        <v>0</v>
      </c>
      <c r="U24" s="78" t="s">
        <v>96</v>
      </c>
      <c r="V24" s="304">
        <f t="shared" si="1"/>
        <v>0</v>
      </c>
      <c r="W24" s="11"/>
      <c r="X24" s="369">
        <f>IF(LoadsTable[[#This Row],[Column2]]=0,0,ROUND((M24/C24),2))</f>
        <v>0</v>
      </c>
      <c r="Y24" s="34">
        <f>IF(LoadsTable[[#This Row],[Column2]]=0,0,ROUND('Stream Bank Phosphorus Loading'!C$162,2))</f>
        <v>0</v>
      </c>
      <c r="Z24" s="78" t="s">
        <v>96</v>
      </c>
      <c r="AA24" s="312">
        <f t="shared" si="2"/>
        <v>0</v>
      </c>
      <c r="AB24" s="265" t="s">
        <v>16</v>
      </c>
    </row>
    <row r="25" spans="1:33" x14ac:dyDescent="0.2">
      <c r="A25" s="402"/>
      <c r="B25" s="12" t="s">
        <v>17</v>
      </c>
      <c r="C25" s="97">
        <f>+'Christina Basin MapShed Output'!C30</f>
        <v>0</v>
      </c>
      <c r="D25" s="12">
        <f>+'Christina Basin MapShed Output'!D30</f>
        <v>0</v>
      </c>
      <c r="E25" s="12">
        <f>+'Christina Basin MapShed Output'!E30</f>
        <v>0</v>
      </c>
      <c r="F25" s="12"/>
      <c r="G25" s="12">
        <f>+'Christina Basin MapShed Output'!F30</f>
        <v>0</v>
      </c>
      <c r="H25" s="12">
        <f>+'Christina Basin MapShed Output'!G30</f>
        <v>0</v>
      </c>
      <c r="I25" s="12"/>
      <c r="J25" s="12">
        <f>+'Christina Basin MapShed Output'!H30</f>
        <v>0</v>
      </c>
      <c r="K25" s="12">
        <f>+'Christina Basin MapShed Output'!I30</f>
        <v>0</v>
      </c>
      <c r="L25" s="12"/>
      <c r="M25" s="12">
        <f>+'Christina Basin MapShed Output'!J30</f>
        <v>0</v>
      </c>
      <c r="O25" s="368">
        <f>IF(LoadsTable[[#This Row],[Column2]]=0,0,(G25*2000/C25))</f>
        <v>0</v>
      </c>
      <c r="P25" s="80">
        <f>IF(LoadsTable[[#This Row],[Column2]]=0,0,'Stream Bank SedimentLoadingRate'!C$165)</f>
        <v>0</v>
      </c>
      <c r="Q25" s="311">
        <f t="shared" si="0"/>
        <v>0</v>
      </c>
      <c r="R25" s="11"/>
      <c r="S25" s="368">
        <f>IF(LoadsTable[[#This Row],[Column2]]=0,0,ROUND((J25/C25),2))</f>
        <v>0</v>
      </c>
      <c r="T25" s="77">
        <f>IF(LoadsTable[[#This Row],[Column2]]=0,0,ROUND('Stream Bank Nitrogen Loading'!C162,2))</f>
        <v>0</v>
      </c>
      <c r="U25" s="77" t="s">
        <v>96</v>
      </c>
      <c r="V25" s="305">
        <f t="shared" si="1"/>
        <v>0</v>
      </c>
      <c r="W25" s="11"/>
      <c r="X25" s="368">
        <f>IF(LoadsTable[[#This Row],[Column2]]=0,0,ROUND((M25/C25),2))</f>
        <v>0</v>
      </c>
      <c r="Y25" s="80">
        <f>IF(LoadsTable[[#This Row],[Column2]]=0,0,ROUND('Stream Bank Phosphorus Loading'!C$162,2))</f>
        <v>0</v>
      </c>
      <c r="Z25" s="77" t="s">
        <v>96</v>
      </c>
      <c r="AA25" s="309">
        <f t="shared" si="2"/>
        <v>0</v>
      </c>
      <c r="AB25" s="232" t="s">
        <v>17</v>
      </c>
    </row>
    <row r="26" spans="1:33" x14ac:dyDescent="0.2">
      <c r="A26" s="402"/>
      <c r="B26" s="12" t="s">
        <v>18</v>
      </c>
      <c r="C26" s="97">
        <f>+'Christina Basin MapShed Output'!C31</f>
        <v>0</v>
      </c>
      <c r="D26" s="12">
        <f>+'Christina Basin MapShed Output'!D31</f>
        <v>0</v>
      </c>
      <c r="E26" s="12">
        <f>+'Christina Basin MapShed Output'!E31</f>
        <v>0</v>
      </c>
      <c r="F26" s="12"/>
      <c r="G26" s="12">
        <f>+'Christina Basin MapShed Output'!F31</f>
        <v>0</v>
      </c>
      <c r="H26" s="12">
        <f>+'Christina Basin MapShed Output'!G31</f>
        <v>0</v>
      </c>
      <c r="I26" s="12"/>
      <c r="J26" s="12">
        <f>+'Christina Basin MapShed Output'!H31</f>
        <v>0</v>
      </c>
      <c r="K26" s="12">
        <f>+'Christina Basin MapShed Output'!I31</f>
        <v>0</v>
      </c>
      <c r="L26" s="12"/>
      <c r="M26" s="12">
        <f>+'Christina Basin MapShed Output'!J31</f>
        <v>0</v>
      </c>
      <c r="O26" s="369">
        <f>IF(LoadsTable[[#This Row],[Column2]]=0,0,(G26*2000/C26))</f>
        <v>0</v>
      </c>
      <c r="P26" s="34">
        <f>IF(LoadsTable[[#This Row],[Column2]]=0,0,'Stream Bank SedimentLoadingRate'!C$165)</f>
        <v>0</v>
      </c>
      <c r="Q26" s="307">
        <f t="shared" si="0"/>
        <v>0</v>
      </c>
      <c r="R26" s="11"/>
      <c r="S26" s="369">
        <f>IF(LoadsTable[[#This Row],[Column2]]=0,0,ROUND((J26/C26),2))</f>
        <v>0</v>
      </c>
      <c r="T26" s="78">
        <f>IF(LoadsTable[[#This Row],[Column2]]=0,0,ROUND('Stream Bank Nitrogen Loading'!C162,2))</f>
        <v>0</v>
      </c>
      <c r="U26" s="78" t="s">
        <v>96</v>
      </c>
      <c r="V26" s="304">
        <f t="shared" si="1"/>
        <v>0</v>
      </c>
      <c r="W26" s="11"/>
      <c r="X26" s="369">
        <f>IF(LoadsTable[[#This Row],[Column2]]=0,0,ROUND((M26/C26),2))</f>
        <v>0</v>
      </c>
      <c r="Y26" s="34">
        <f>IF(LoadsTable[[#This Row],[Column2]]=0,0,ROUND('Stream Bank Phosphorus Loading'!C$162,2))</f>
        <v>0</v>
      </c>
      <c r="Z26" s="78" t="s">
        <v>96</v>
      </c>
      <c r="AA26" s="312">
        <f t="shared" si="2"/>
        <v>0</v>
      </c>
      <c r="AB26" s="265" t="s">
        <v>18</v>
      </c>
    </row>
    <row r="27" spans="1:33" x14ac:dyDescent="0.2">
      <c r="A27" s="402"/>
      <c r="B27" s="12" t="s">
        <v>19</v>
      </c>
      <c r="C27" s="97">
        <f>+'Christina Basin MapShed Output'!C32</f>
        <v>467</v>
      </c>
      <c r="D27" s="12">
        <f>+'Christina Basin MapShed Output'!D32</f>
        <v>4.92</v>
      </c>
      <c r="E27" s="12">
        <f>+'Christina Basin MapShed Output'!E32</f>
        <v>0</v>
      </c>
      <c r="F27" s="12"/>
      <c r="G27" s="12">
        <f>+'Christina Basin MapShed Output'!F32</f>
        <v>14.52</v>
      </c>
      <c r="H27" s="12">
        <f>+'Christina Basin MapShed Output'!G32</f>
        <v>187.97</v>
      </c>
      <c r="I27" s="12"/>
      <c r="J27" s="12">
        <f>+'Christina Basin MapShed Output'!H32</f>
        <v>664.49</v>
      </c>
      <c r="K27" s="12">
        <f>+'Christina Basin MapShed Output'!I32</f>
        <v>26.7</v>
      </c>
      <c r="L27" s="12"/>
      <c r="M27" s="12">
        <f>+'Christina Basin MapShed Output'!J32</f>
        <v>71.83</v>
      </c>
      <c r="O27" s="368">
        <f>IF(LoadsTable[[#This Row],[Column2]]=0,0,(G27*2000/C27))</f>
        <v>62.184154175588866</v>
      </c>
      <c r="P27" s="80">
        <f>IF(LoadsTable[[#This Row],[Column2]]=0,0,'Stream Bank SedimentLoadingRate'!E151)</f>
        <v>717.38629784441866</v>
      </c>
      <c r="Q27" s="311">
        <f t="shared" si="0"/>
        <v>779.57045202000756</v>
      </c>
      <c r="R27" s="11"/>
      <c r="S27" s="368">
        <f>IF(LoadsTable[[#This Row],[Column2]]=0,0,ROUND((J27/C27),2))</f>
        <v>1.42</v>
      </c>
      <c r="T27" s="77">
        <f>IF(LoadsTable[[#This Row],[Column2]]=0,0,ROUND('Stream Bank Nitrogen Loading'!E148,2))</f>
        <v>0.36</v>
      </c>
      <c r="U27" s="77" t="s">
        <v>96</v>
      </c>
      <c r="V27" s="305">
        <f t="shared" si="1"/>
        <v>1.7799999999999998</v>
      </c>
      <c r="W27" s="11"/>
      <c r="X27" s="368">
        <f>IF(LoadsTable[[#This Row],[Column2]]=0,0,ROUND((M27/C27),2))</f>
        <v>0.15</v>
      </c>
      <c r="Y27" s="80">
        <f>IF(LoadsTable[[#This Row],[Column2]]=0,0,ROUND('Stream Bank Phosphorus Loading'!E$148,2))</f>
        <v>0.12</v>
      </c>
      <c r="Z27" s="77" t="s">
        <v>96</v>
      </c>
      <c r="AA27" s="309">
        <f t="shared" si="2"/>
        <v>0.27</v>
      </c>
      <c r="AB27" s="232" t="s">
        <v>19</v>
      </c>
    </row>
    <row r="28" spans="1:33" x14ac:dyDescent="0.2">
      <c r="A28" s="402"/>
      <c r="B28" s="12" t="s">
        <v>20</v>
      </c>
      <c r="C28" s="97">
        <f>+'Christina Basin MapShed Output'!C33</f>
        <v>647.4</v>
      </c>
      <c r="D28" s="12">
        <f>+'Christina Basin MapShed Output'!D33</f>
        <v>12.96</v>
      </c>
      <c r="E28" s="12">
        <f>+'Christina Basin MapShed Output'!E33</f>
        <v>0</v>
      </c>
      <c r="F28" s="12"/>
      <c r="G28" s="12">
        <f>+'Christina Basin MapShed Output'!F33</f>
        <v>81.599999999999994</v>
      </c>
      <c r="H28" s="12">
        <f>+'Christina Basin MapShed Output'!G33</f>
        <v>1526.61</v>
      </c>
      <c r="I28" s="12"/>
      <c r="J28" s="12">
        <f>+'Christina Basin MapShed Output'!H33</f>
        <v>4691.45</v>
      </c>
      <c r="K28" s="12">
        <f>+'Christina Basin MapShed Output'!I33</f>
        <v>197.25</v>
      </c>
      <c r="L28" s="12"/>
      <c r="M28" s="12">
        <f>+'Christina Basin MapShed Output'!J33</f>
        <v>497.05</v>
      </c>
      <c r="O28" s="369">
        <f>IF(LoadsTable[[#This Row],[Column2]]=0,0,(G28*2000/C28))</f>
        <v>252.08526413345692</v>
      </c>
      <c r="P28" s="34">
        <f>IF(LoadsTable[[#This Row],[Column2]]=0,0,'Stream Bank SedimentLoadingRate'!E152)</f>
        <v>1544.2752463986867</v>
      </c>
      <c r="Q28" s="307">
        <f t="shared" si="0"/>
        <v>1796.3605105321435</v>
      </c>
      <c r="R28" s="11"/>
      <c r="S28" s="369">
        <f>IF(LoadsTable[[#This Row],[Column2]]=0,0,ROUND((J28/C28),2))</f>
        <v>7.25</v>
      </c>
      <c r="T28" s="78">
        <f>IF(LoadsTable[[#This Row],[Column2]]=0,0,ROUND('Stream Bank Nitrogen Loading'!E149,2))</f>
        <v>0.77</v>
      </c>
      <c r="U28" s="78" t="s">
        <v>96</v>
      </c>
      <c r="V28" s="304">
        <f t="shared" si="1"/>
        <v>8.02</v>
      </c>
      <c r="W28" s="11"/>
      <c r="X28" s="369">
        <f>IF(LoadsTable[[#This Row],[Column2]]=0,0,ROUND((M28/C28),2))</f>
        <v>0.77</v>
      </c>
      <c r="Y28" s="34">
        <f>IF(LoadsTable[[#This Row],[Column2]]=0,0,ROUND('Stream Bank Phosphorus Loading'!E$149,2))</f>
        <v>0.27</v>
      </c>
      <c r="Z28" s="78" t="s">
        <v>96</v>
      </c>
      <c r="AA28" s="312">
        <f t="shared" si="2"/>
        <v>1.04</v>
      </c>
      <c r="AB28" s="265" t="s">
        <v>20</v>
      </c>
    </row>
    <row r="29" spans="1:33" x14ac:dyDescent="0.2">
      <c r="A29" s="402"/>
      <c r="B29" s="12" t="s">
        <v>21</v>
      </c>
      <c r="C29" s="97">
        <f>+'Christina Basin MapShed Output'!C34</f>
        <v>1648.2</v>
      </c>
      <c r="D29" s="12">
        <f>+'Christina Basin MapShed Output'!D34</f>
        <v>18.28</v>
      </c>
      <c r="E29" s="12">
        <f>+'Christina Basin MapShed Output'!E34</f>
        <v>0</v>
      </c>
      <c r="F29" s="12"/>
      <c r="G29" s="12">
        <f>+'Christina Basin MapShed Output'!F34</f>
        <v>205.57</v>
      </c>
      <c r="H29" s="12">
        <f>+'Christina Basin MapShed Output'!G34</f>
        <v>3954.07</v>
      </c>
      <c r="I29" s="12"/>
      <c r="J29" s="12">
        <f>+'Christina Basin MapShed Output'!H34</f>
        <v>12132.11</v>
      </c>
      <c r="K29" s="12">
        <f>+'Christina Basin MapShed Output'!I34</f>
        <v>510.02</v>
      </c>
      <c r="L29" s="12"/>
      <c r="M29" s="12">
        <f>+'Christina Basin MapShed Output'!J34</f>
        <v>1284.1300000000001</v>
      </c>
      <c r="O29" s="368">
        <f>IF(LoadsTable[[#This Row],[Column2]]=0,0,(G29*2000/C29))</f>
        <v>249.44788253852687</v>
      </c>
      <c r="P29" s="80">
        <f>IF(LoadsTable[[#This Row],[Column2]]=0,0,'Stream Bank SedimentLoadingRate'!E153)</f>
        <v>2326.4674950311023</v>
      </c>
      <c r="Q29" s="311">
        <f t="shared" si="0"/>
        <v>2575.9153775696291</v>
      </c>
      <c r="R29" s="11"/>
      <c r="S29" s="368">
        <f>IF(LoadsTable[[#This Row],[Column2]]=0,0,ROUND((J29/C29),2))</f>
        <v>7.36</v>
      </c>
      <c r="T29" s="77">
        <f>IF(LoadsTable[[#This Row],[Column2]]=0,0,ROUND('Stream Bank Nitrogen Loading'!E150,2))</f>
        <v>1.1599999999999999</v>
      </c>
      <c r="U29" s="77" t="s">
        <v>96</v>
      </c>
      <c r="V29" s="305">
        <f t="shared" si="1"/>
        <v>8.52</v>
      </c>
      <c r="W29" s="11"/>
      <c r="X29" s="368">
        <f>IF(LoadsTable[[#This Row],[Column2]]=0,0,ROUND((M29/C29),2))</f>
        <v>0.78</v>
      </c>
      <c r="Y29" s="80">
        <f>IF(LoadsTable[[#This Row],[Column2]]=0,0,ROUND('Stream Bank Phosphorus Loading'!E$150,2))</f>
        <v>0.4</v>
      </c>
      <c r="Z29" s="77" t="s">
        <v>96</v>
      </c>
      <c r="AA29" s="309">
        <f t="shared" si="2"/>
        <v>1.1800000000000002</v>
      </c>
      <c r="AB29" s="232" t="s">
        <v>21</v>
      </c>
    </row>
    <row r="30" spans="1:33" x14ac:dyDescent="0.2">
      <c r="A30" s="402"/>
      <c r="B30" s="12" t="s">
        <v>22</v>
      </c>
      <c r="C30" s="97">
        <f>+'Christina Basin MapShed Output'!C35</f>
        <v>11848.7</v>
      </c>
      <c r="D30" s="12">
        <f>+'Christina Basin MapShed Output'!D35</f>
        <v>4.92</v>
      </c>
      <c r="E30" s="12">
        <f>+'Christina Basin MapShed Output'!E35</f>
        <v>0</v>
      </c>
      <c r="F30" s="12"/>
      <c r="G30" s="12">
        <f>+'Christina Basin MapShed Output'!F35</f>
        <v>369.66</v>
      </c>
      <c r="H30" s="12">
        <f>+'Christina Basin MapShed Output'!G35</f>
        <v>4751.71</v>
      </c>
      <c r="I30" s="12"/>
      <c r="J30" s="12">
        <f>+'Christina Basin MapShed Output'!H35</f>
        <v>16858.55</v>
      </c>
      <c r="K30" s="12">
        <f>+'Christina Basin MapShed Output'!I35</f>
        <v>675.89</v>
      </c>
      <c r="L30" s="12"/>
      <c r="M30" s="12">
        <f>+'Christina Basin MapShed Output'!J35</f>
        <v>1821.08</v>
      </c>
      <c r="O30" s="369">
        <f>IF(LoadsTable[[#This Row],[Column2]]=0,0,(G30*2000/C30))</f>
        <v>62.396718627359959</v>
      </c>
      <c r="P30" s="34">
        <f>IF(LoadsTable[[#This Row],[Column2]]=0,0,'Stream Bank SedimentLoadingRate'!E151)</f>
        <v>717.38629784441866</v>
      </c>
      <c r="Q30" s="307">
        <f t="shared" si="0"/>
        <v>779.78301647177864</v>
      </c>
      <c r="R30" s="11"/>
      <c r="S30" s="369">
        <f>IF(LoadsTable[[#This Row],[Column2]]=0,0,ROUND((J30/C30),2))</f>
        <v>1.42</v>
      </c>
      <c r="T30" s="78">
        <f>IF(LoadsTable[[#This Row],[Column2]]=0,0,ROUND('Stream Bank Nitrogen Loading'!E148,2))</f>
        <v>0.36</v>
      </c>
      <c r="U30" s="78" t="s">
        <v>96</v>
      </c>
      <c r="V30" s="304">
        <f t="shared" si="1"/>
        <v>1.7799999999999998</v>
      </c>
      <c r="W30" s="11"/>
      <c r="X30" s="369">
        <f>IF(LoadsTable[[#This Row],[Column2]]=0,0,ROUND((M30/C30),2))</f>
        <v>0.15</v>
      </c>
      <c r="Y30" s="34">
        <f>IF(LoadsTable[[#This Row],[Column2]]=0,0,ROUND('Stream Bank Phosphorus Loading'!E$148,2))</f>
        <v>0.12</v>
      </c>
      <c r="Z30" s="78" t="s">
        <v>96</v>
      </c>
      <c r="AA30" s="312">
        <f t="shared" si="2"/>
        <v>0.27</v>
      </c>
      <c r="AB30" s="265" t="s">
        <v>22</v>
      </c>
    </row>
    <row r="31" spans="1:33" x14ac:dyDescent="0.2">
      <c r="A31" s="402"/>
      <c r="B31" s="12" t="s">
        <v>23</v>
      </c>
      <c r="C31" s="97">
        <f>+'Christina Basin MapShed Output'!C36</f>
        <v>291.60000000000002</v>
      </c>
      <c r="D31" s="12">
        <f>+'Christina Basin MapShed Output'!D36</f>
        <v>8.07</v>
      </c>
      <c r="E31" s="12">
        <f>+'Christina Basin MapShed Output'!E36</f>
        <v>0</v>
      </c>
      <c r="F31" s="12"/>
      <c r="G31" s="12">
        <f>+'Christina Basin MapShed Output'!F36</f>
        <v>36.619999999999997</v>
      </c>
      <c r="H31" s="12">
        <f>+'Christina Basin MapShed Output'!G36</f>
        <v>689.94</v>
      </c>
      <c r="I31" s="12"/>
      <c r="J31" s="12">
        <f>+'Christina Basin MapShed Output'!H36</f>
        <v>2120.9499999999998</v>
      </c>
      <c r="K31" s="12">
        <f>+'Christina Basin MapShed Output'!I36</f>
        <v>89.22</v>
      </c>
      <c r="L31" s="12"/>
      <c r="M31" s="12">
        <f>+'Christina Basin MapShed Output'!J36</f>
        <v>224.85</v>
      </c>
      <c r="O31" s="368">
        <f>IF(LoadsTable[[#This Row],[Column2]]=0,0,(G31*2000/C31))</f>
        <v>251.16598079561041</v>
      </c>
      <c r="P31" s="80">
        <f>IF(LoadsTable[[#This Row],[Column2]]=0,0,'Stream Bank SedimentLoadingRate'!E152)</f>
        <v>1544.2752463986867</v>
      </c>
      <c r="Q31" s="311">
        <f t="shared" si="0"/>
        <v>1795.4412271942972</v>
      </c>
      <c r="R31" s="11"/>
      <c r="S31" s="368">
        <f>IF(LoadsTable[[#This Row],[Column2]]=0,0,ROUND((J31/C31),2))</f>
        <v>7.27</v>
      </c>
      <c r="T31" s="77">
        <f>IF(LoadsTable[[#This Row],[Column2]]=0,0,ROUND('Stream Bank Nitrogen Loading'!E149,2))</f>
        <v>0.77</v>
      </c>
      <c r="U31" s="77" t="s">
        <v>96</v>
      </c>
      <c r="V31" s="305">
        <f t="shared" si="1"/>
        <v>8.0399999999999991</v>
      </c>
      <c r="W31" s="11"/>
      <c r="X31" s="368">
        <f>IF(LoadsTable[[#This Row],[Column2]]=0,0,ROUND((M31/C31),2))</f>
        <v>0.77</v>
      </c>
      <c r="Y31" s="80">
        <f>IF(LoadsTable[[#This Row],[Column2]]=0,0,ROUND('Stream Bank Phosphorus Loading'!E$149,2))</f>
        <v>0.27</v>
      </c>
      <c r="Z31" s="77" t="s">
        <v>96</v>
      </c>
      <c r="AA31" s="309">
        <f t="shared" si="2"/>
        <v>1.04</v>
      </c>
      <c r="AB31" s="232" t="s">
        <v>23</v>
      </c>
    </row>
    <row r="32" spans="1:33" ht="13.5" thickBot="1" x14ac:dyDescent="0.25">
      <c r="A32" s="403"/>
      <c r="B32" s="12" t="s">
        <v>24</v>
      </c>
      <c r="C32" s="97">
        <f>+'Christina Basin MapShed Output'!C37</f>
        <v>86.5</v>
      </c>
      <c r="D32" s="12">
        <f>+'Christina Basin MapShed Output'!D37</f>
        <v>11.06</v>
      </c>
      <c r="E32" s="12">
        <f>+'Christina Basin MapShed Output'!E37</f>
        <v>0</v>
      </c>
      <c r="F32" s="12"/>
      <c r="G32" s="12">
        <f>+'Christina Basin MapShed Output'!F37</f>
        <v>11.06</v>
      </c>
      <c r="H32" s="12">
        <f>+'Christina Basin MapShed Output'!G37</f>
        <v>197.42</v>
      </c>
      <c r="I32" s="12"/>
      <c r="J32" s="12">
        <f>+'Christina Basin MapShed Output'!H37</f>
        <v>609.82000000000005</v>
      </c>
      <c r="K32" s="12">
        <f>+'Christina Basin MapShed Output'!I37</f>
        <v>25.68</v>
      </c>
      <c r="L32" s="12"/>
      <c r="M32" s="12">
        <f>+'Christina Basin MapShed Output'!J37</f>
        <v>64.900000000000006</v>
      </c>
      <c r="O32" s="370">
        <f>IF(LoadsTable[[#This Row],[Column2]]=0,0,(G32*2000/C32))</f>
        <v>255.72254335260115</v>
      </c>
      <c r="P32" s="245">
        <f>IF(LoadsTable[[#This Row],[Column2]]=0,0,'Stream Bank SedimentLoadingRate'!E153)</f>
        <v>2326.4674950311023</v>
      </c>
      <c r="Q32" s="306">
        <f t="shared" si="0"/>
        <v>2582.1900383837033</v>
      </c>
      <c r="R32" s="11"/>
      <c r="S32" s="370">
        <f>IF(LoadsTable[[#This Row],[Column2]]=0,0,ROUND((J32/C32),2))</f>
        <v>7.05</v>
      </c>
      <c r="T32" s="79">
        <f>IF(LoadsTable[[#This Row],[Column2]]=0,0,ROUND('Stream Bank Nitrogen Loading'!E150,2))</f>
        <v>1.1599999999999999</v>
      </c>
      <c r="U32" s="79" t="s">
        <v>96</v>
      </c>
      <c r="V32" s="308">
        <f t="shared" si="1"/>
        <v>8.2099999999999991</v>
      </c>
      <c r="W32" s="11"/>
      <c r="X32" s="370">
        <f>IF(LoadsTable[[#This Row],[Column2]]=0,0,ROUND((M32/C32),2))</f>
        <v>0.75</v>
      </c>
      <c r="Y32" s="81">
        <f>IF(LoadsTable[[#This Row],[Column2]]=0,0,ROUND('Stream Bank Phosphorus Loading'!E$150,2))</f>
        <v>0.4</v>
      </c>
      <c r="Z32" s="79" t="s">
        <v>96</v>
      </c>
      <c r="AA32" s="326">
        <f t="shared" si="2"/>
        <v>1.1499999999999999</v>
      </c>
      <c r="AB32" s="329" t="s">
        <v>24</v>
      </c>
    </row>
    <row r="33" spans="1:30" ht="11.45" customHeight="1" x14ac:dyDescent="0.2"/>
    <row r="34" spans="1:30" ht="26.45" customHeight="1" x14ac:dyDescent="0.2">
      <c r="A34" s="404" t="s">
        <v>194</v>
      </c>
      <c r="B34" s="28" t="s">
        <v>0</v>
      </c>
      <c r="C34" s="29"/>
      <c r="D34" s="30"/>
      <c r="E34" s="30"/>
      <c r="F34" s="30"/>
      <c r="G34" s="15" t="s">
        <v>4</v>
      </c>
      <c r="H34" s="25"/>
      <c r="I34" s="25"/>
      <c r="J34" s="15" t="s">
        <v>37</v>
      </c>
      <c r="K34" s="15" t="s">
        <v>7</v>
      </c>
      <c r="L34" s="15"/>
      <c r="M34" s="16" t="s">
        <v>38</v>
      </c>
      <c r="S34" s="4"/>
      <c r="T34" s="4"/>
      <c r="U34" s="4"/>
      <c r="V34" s="4"/>
      <c r="W34" s="4"/>
      <c r="X34" s="4"/>
      <c r="Y34" s="4"/>
      <c r="Z34" s="4"/>
      <c r="AA34" s="4"/>
      <c r="AB34" s="4"/>
    </row>
    <row r="35" spans="1:30" ht="12" customHeight="1" x14ac:dyDescent="0.2">
      <c r="A35" s="405"/>
      <c r="B35" s="21" t="s">
        <v>36</v>
      </c>
      <c r="C35" s="22"/>
      <c r="D35" s="23" t="s">
        <v>33</v>
      </c>
      <c r="E35" s="23" t="s">
        <v>34</v>
      </c>
      <c r="F35" s="23"/>
      <c r="G35" s="23" t="s">
        <v>34</v>
      </c>
      <c r="H35" s="92"/>
      <c r="I35" s="92"/>
      <c r="J35" s="23" t="s">
        <v>35</v>
      </c>
      <c r="K35" s="23" t="s">
        <v>35</v>
      </c>
      <c r="L35" s="23"/>
      <c r="M35" s="24" t="s">
        <v>35</v>
      </c>
      <c r="Y35" s="4"/>
      <c r="Z35" s="4"/>
      <c r="AA35" s="4"/>
      <c r="AB35" s="4"/>
    </row>
    <row r="36" spans="1:30" ht="18" customHeight="1" x14ac:dyDescent="0.2">
      <c r="A36" s="405"/>
      <c r="B36" s="233" t="s">
        <v>25</v>
      </c>
      <c r="C36" s="234" t="str">
        <f>+'Christina Basin MapShed Output'!C38</f>
        <v xml:space="preserve"> </v>
      </c>
      <c r="D36" s="234" t="str">
        <f>+'Christina Basin MapShed Output'!D38</f>
        <v xml:space="preserve"> </v>
      </c>
      <c r="E36" s="234" t="str">
        <f>+'Christina Basin MapShed Output'!E38</f>
        <v xml:space="preserve"> </v>
      </c>
      <c r="F36" s="234"/>
      <c r="G36" s="235" t="str">
        <f>+'Christina Basin MapShed Output'!F38</f>
        <v xml:space="preserve"> </v>
      </c>
      <c r="H36" s="235" t="str">
        <f>+'Christina Basin MapShed Output'!G38</f>
        <v xml:space="preserve"> </v>
      </c>
      <c r="I36" s="235"/>
      <c r="J36" s="235">
        <f>+'Christina Basin MapShed Output'!H38</f>
        <v>1005.86</v>
      </c>
      <c r="K36" s="235" t="str">
        <f>+'Christina Basin MapShed Output'!I38</f>
        <v xml:space="preserve"> </v>
      </c>
      <c r="L36" s="235"/>
      <c r="M36" s="236">
        <f>+'Christina Basin MapShed Output'!J38</f>
        <v>415.26</v>
      </c>
      <c r="Y36" s="4"/>
      <c r="Z36" s="4"/>
      <c r="AA36" s="4"/>
      <c r="AB36" s="4"/>
    </row>
    <row r="37" spans="1:30" ht="18" customHeight="1" x14ac:dyDescent="0.2">
      <c r="A37" s="405"/>
      <c r="B37" s="237" t="s">
        <v>27</v>
      </c>
      <c r="C37" s="238" t="str">
        <f>+'Christina Basin MapShed Output'!C39</f>
        <v xml:space="preserve"> </v>
      </c>
      <c r="D37" s="238" t="str">
        <f>+'Christina Basin MapShed Output'!D39</f>
        <v xml:space="preserve"> </v>
      </c>
      <c r="E37" s="238" t="str">
        <f>+'Christina Basin MapShed Output'!E39</f>
        <v xml:space="preserve"> </v>
      </c>
      <c r="F37" s="238"/>
      <c r="G37" s="239">
        <f>+'Christina Basin MapShed Output'!F39</f>
        <v>0</v>
      </c>
      <c r="H37" s="239" t="str">
        <f>+'Christina Basin MapShed Output'!G39</f>
        <v xml:space="preserve"> </v>
      </c>
      <c r="I37" s="239"/>
      <c r="J37" s="239">
        <f>+'Christina Basin MapShed Output'!H39</f>
        <v>0</v>
      </c>
      <c r="K37" s="239" t="str">
        <f>+'Christina Basin MapShed Output'!I39</f>
        <v xml:space="preserve"> </v>
      </c>
      <c r="L37" s="239"/>
      <c r="M37" s="240">
        <f>+'Christina Basin MapShed Output'!J39</f>
        <v>0</v>
      </c>
      <c r="P37" s="1"/>
    </row>
    <row r="38" spans="1:30" ht="18" customHeight="1" x14ac:dyDescent="0.2">
      <c r="A38" s="406"/>
      <c r="B38" s="241" t="s">
        <v>207</v>
      </c>
      <c r="C38" s="242" t="str">
        <f>+'Christina Basin MapShed Output'!C40</f>
        <v xml:space="preserve"> </v>
      </c>
      <c r="D38" s="242" t="str">
        <f>+'Christina Basin MapShed Output'!D40</f>
        <v xml:space="preserve"> </v>
      </c>
      <c r="E38" s="242" t="str">
        <f>+'Christina Basin MapShed Output'!E40</f>
        <v xml:space="preserve"> </v>
      </c>
      <c r="F38" s="242"/>
      <c r="G38" s="243">
        <f>+'Christina Basin MapShed Output'!F40</f>
        <v>9249.17</v>
      </c>
      <c r="H38" s="243" t="str">
        <f>+'Christina Basin MapShed Output'!G40</f>
        <v xml:space="preserve"> </v>
      </c>
      <c r="I38" s="243"/>
      <c r="J38" s="243">
        <f>+'Christina Basin MapShed Output'!H40</f>
        <v>9250.59</v>
      </c>
      <c r="K38" s="243" t="str">
        <f>+'Christina Basin MapShed Output'!I40</f>
        <v xml:space="preserve"> </v>
      </c>
      <c r="L38" s="243"/>
      <c r="M38" s="244">
        <f>+'Christina Basin MapShed Output'!J40</f>
        <v>3218.75</v>
      </c>
      <c r="P38" s="1"/>
    </row>
    <row r="39" spans="1:30" ht="15" customHeight="1" x14ac:dyDescent="0.2">
      <c r="P39" s="1"/>
      <c r="AB39" s="4"/>
      <c r="AC39" s="4"/>
      <c r="AD39" s="4"/>
    </row>
    <row r="40" spans="1:30" s="91" customFormat="1" x14ac:dyDescent="0.25">
      <c r="B40" s="91" t="s">
        <v>200</v>
      </c>
    </row>
    <row r="41" spans="1:30" ht="28.9" customHeight="1" x14ac:dyDescent="0.2">
      <c r="B41" s="407" t="s">
        <v>334</v>
      </c>
      <c r="C41" s="407"/>
      <c r="D41" s="407"/>
      <c r="E41" s="407"/>
      <c r="F41" s="407"/>
      <c r="G41" s="407"/>
      <c r="H41" s="407"/>
      <c r="I41" s="407"/>
      <c r="J41" s="407"/>
      <c r="K41" s="407"/>
      <c r="L41" s="407"/>
      <c r="M41" s="407"/>
      <c r="N41" s="407"/>
      <c r="O41" s="407"/>
      <c r="P41" s="407"/>
      <c r="Q41" s="407"/>
      <c r="R41" s="407"/>
      <c r="S41" s="407"/>
      <c r="T41" s="407"/>
      <c r="U41" s="407"/>
      <c r="V41" s="407"/>
      <c r="W41" s="407"/>
      <c r="X41" s="407"/>
      <c r="Y41" s="407"/>
      <c r="Z41" s="407"/>
      <c r="AA41" s="407"/>
    </row>
    <row r="42" spans="1:30" ht="41.45" customHeight="1" x14ac:dyDescent="0.2">
      <c r="B42" s="407" t="s">
        <v>335</v>
      </c>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row>
    <row r="43" spans="1:30" ht="13.15" hidden="1" x14ac:dyDescent="0.25">
      <c r="B43" s="2" t="s">
        <v>29</v>
      </c>
      <c r="C43" s="8" t="str">
        <f>+'Christina Basin MapShed Output'!C41</f>
        <v xml:space="preserve"> </v>
      </c>
      <c r="D43" s="8" t="str">
        <f>+'Christina Basin MapShed Output'!D41</f>
        <v xml:space="preserve"> </v>
      </c>
      <c r="E43" s="8" t="str">
        <f>+'Christina Basin MapShed Output'!E41</f>
        <v xml:space="preserve"> </v>
      </c>
      <c r="F43" s="8"/>
      <c r="G43" s="8" t="str">
        <f>+'Christina Basin MapShed Output'!F41</f>
        <v xml:space="preserve"> </v>
      </c>
      <c r="H43" s="8">
        <f>+'Christina Basin MapShed Output'!G41</f>
        <v>346486.23628999997</v>
      </c>
      <c r="I43" s="8"/>
      <c r="J43" s="8">
        <f>+'Christina Basin MapShed Output'!H41</f>
        <v>346486.23628999997</v>
      </c>
      <c r="K43" s="8">
        <f>+'Christina Basin MapShed Output'!I41</f>
        <v>27650.454269999998</v>
      </c>
      <c r="L43" s="8"/>
      <c r="M43" s="8">
        <f>+'Christina Basin MapShed Output'!J41</f>
        <v>27650.454269999998</v>
      </c>
    </row>
    <row r="44" spans="1:30" ht="13.15" hidden="1" x14ac:dyDescent="0.25">
      <c r="B44" s="2" t="s">
        <v>30</v>
      </c>
      <c r="C44" s="8" t="str">
        <f>+'Christina Basin MapShed Output'!C42</f>
        <v xml:space="preserve"> </v>
      </c>
      <c r="D44" s="8" t="str">
        <f>+'Christina Basin MapShed Output'!D42</f>
        <v xml:space="preserve"> </v>
      </c>
      <c r="E44" s="8" t="str">
        <f>+'Christina Basin MapShed Output'!E42</f>
        <v xml:space="preserve"> </v>
      </c>
      <c r="F44" s="8"/>
      <c r="G44" s="8" t="str">
        <f>+'Christina Basin MapShed Output'!F42</f>
        <v xml:space="preserve"> </v>
      </c>
      <c r="H44" s="8">
        <f>+'Christina Basin MapShed Output'!G42</f>
        <v>110877.17412</v>
      </c>
      <c r="I44" s="8"/>
      <c r="J44" s="8">
        <f>+'Christina Basin MapShed Output'!H42</f>
        <v>110877.17412</v>
      </c>
      <c r="K44" s="8">
        <f>+'Christina Basin MapShed Output'!I42</f>
        <v>12924.143830000001</v>
      </c>
      <c r="L44" s="8"/>
      <c r="M44" s="8">
        <f>+'Christina Basin MapShed Output'!J42</f>
        <v>12924.143830000001</v>
      </c>
    </row>
    <row r="45" spans="1:30" ht="13.9" hidden="1" thickBot="1" x14ac:dyDescent="0.3">
      <c r="B45" s="3" t="s">
        <v>31</v>
      </c>
      <c r="C45" s="8" t="str">
        <f>+'Christina Basin MapShed Output'!C43</f>
        <v xml:space="preserve"> </v>
      </c>
      <c r="D45" s="8" t="str">
        <f>+'Christina Basin MapShed Output'!D43</f>
        <v xml:space="preserve"> </v>
      </c>
      <c r="E45" s="8" t="str">
        <f>+'Christina Basin MapShed Output'!E43</f>
        <v xml:space="preserve"> </v>
      </c>
      <c r="F45" s="8"/>
      <c r="G45" s="8" t="str">
        <f>+'Christina Basin MapShed Output'!F43</f>
        <v xml:space="preserve"> </v>
      </c>
      <c r="H45" s="8">
        <f>+'Christina Basin MapShed Output'!G43</f>
        <v>39385.629999999997</v>
      </c>
      <c r="I45" s="8"/>
      <c r="J45" s="8">
        <f>+'Christina Basin MapShed Output'!H43</f>
        <v>39385.629999999997</v>
      </c>
      <c r="K45" s="8">
        <f>+'Christina Basin MapShed Output'!I43</f>
        <v>1042.06</v>
      </c>
      <c r="L45" s="8"/>
      <c r="M45" s="8">
        <f>+'Christina Basin MapShed Output'!J43</f>
        <v>1042.06</v>
      </c>
    </row>
    <row r="46" spans="1:30" ht="28.9" customHeight="1" x14ac:dyDescent="0.25">
      <c r="B46" s="93"/>
      <c r="C46" s="4"/>
      <c r="D46" s="4"/>
      <c r="E46" s="4"/>
      <c r="F46" s="4"/>
      <c r="G46" s="4"/>
      <c r="H46" s="4"/>
      <c r="I46" s="4"/>
      <c r="J46" s="4"/>
      <c r="K46" s="4"/>
      <c r="L46" s="4"/>
      <c r="M46" s="4"/>
    </row>
    <row r="47" spans="1:30" x14ac:dyDescent="0.2">
      <c r="P47" s="1"/>
      <c r="Q47" s="112"/>
    </row>
    <row r="48" spans="1:30" ht="18" x14ac:dyDescent="0.25">
      <c r="B48" s="93"/>
    </row>
  </sheetData>
  <sheetProtection sheet="1" objects="1" scenarios="1"/>
  <mergeCells count="10">
    <mergeCell ref="A17:A32"/>
    <mergeCell ref="O13:Q13"/>
    <mergeCell ref="A34:A38"/>
    <mergeCell ref="B41:AA41"/>
    <mergeCell ref="B42:AA42"/>
    <mergeCell ref="F5:G5"/>
    <mergeCell ref="O11:AB11"/>
    <mergeCell ref="S13:V13"/>
    <mergeCell ref="X13:AA13"/>
    <mergeCell ref="B11:M11"/>
  </mergeCells>
  <pageMargins left="0.5" right="0.25" top="0.5" bottom="0.75" header="0.3" footer="0.3"/>
  <pageSetup paperSize="17" fitToWidth="0" fitToHeight="0" orientation="landscape" r:id="rId1"/>
  <headerFooter>
    <oddFooter>&amp;L&amp;"Arial,Regular"&amp;9Section 2: Land Use Loading Rates Look-Up Table&amp;C&amp;"Arial,Regular"&amp;9Page &amp;P of &amp;N&amp;R&amp;"Arial,Regular"&amp;9Christina Basin Loading Rates Tool (May 12, 2017)</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44"/>
  <sheetViews>
    <sheetView view="pageLayout" topLeftCell="A10" zoomScaleNormal="80" zoomScaleSheetLayoutView="100" workbookViewId="0">
      <selection activeCell="E3" sqref="E3"/>
    </sheetView>
  </sheetViews>
  <sheetFormatPr defaultColWidth="8.85546875" defaultRowHeight="12.75" x14ac:dyDescent="0.2"/>
  <cols>
    <col min="1" max="1" width="15.140625" style="1" customWidth="1"/>
    <col min="2" max="2" width="1.5703125" style="1" customWidth="1"/>
    <col min="3" max="3" width="9.7109375" style="1" customWidth="1"/>
    <col min="4" max="4" width="10.42578125" style="1" customWidth="1"/>
    <col min="5" max="5" width="10.85546875" style="1" customWidth="1"/>
    <col min="6" max="6" width="10" style="1" customWidth="1"/>
    <col min="7" max="7" width="11.140625" style="1" customWidth="1"/>
    <col min="8" max="8" width="10.85546875" style="1" customWidth="1"/>
    <col min="9" max="9" width="9.7109375" style="1" customWidth="1"/>
    <col min="10" max="10" width="10" style="1" customWidth="1"/>
    <col min="11" max="16384" width="8.85546875" style="1"/>
  </cols>
  <sheetData>
    <row r="1" spans="1:10" ht="15.6" x14ac:dyDescent="0.3">
      <c r="A1" s="1" t="s">
        <v>260</v>
      </c>
      <c r="B1" s="40"/>
    </row>
    <row r="2" spans="1:10" ht="6.6" customHeight="1" x14ac:dyDescent="0.25"/>
    <row r="3" spans="1:10" ht="13.15" x14ac:dyDescent="0.25">
      <c r="A3" s="87" t="s">
        <v>238</v>
      </c>
      <c r="B3" s="1" t="s">
        <v>347</v>
      </c>
    </row>
    <row r="4" spans="1:10" ht="6" customHeight="1" x14ac:dyDescent="0.25"/>
    <row r="5" spans="1:10" ht="13.15" x14ac:dyDescent="0.25">
      <c r="A5" s="1" t="s">
        <v>97</v>
      </c>
      <c r="B5" s="394">
        <f>+C16</f>
        <v>2012</v>
      </c>
      <c r="C5" s="394"/>
    </row>
    <row r="7" spans="1:10" x14ac:dyDescent="0.2">
      <c r="A7" s="339" t="s">
        <v>262</v>
      </c>
      <c r="B7" s="102" t="s">
        <v>248</v>
      </c>
    </row>
    <row r="9" spans="1:10" ht="163.5" customHeight="1" x14ac:dyDescent="0.2">
      <c r="A9" s="409" t="s">
        <v>322</v>
      </c>
      <c r="B9" s="409"/>
      <c r="C9" s="409"/>
      <c r="D9" s="409"/>
      <c r="E9" s="409"/>
      <c r="F9" s="409"/>
      <c r="G9" s="409"/>
      <c r="H9" s="409"/>
      <c r="I9" s="409"/>
      <c r="J9" s="409"/>
    </row>
    <row r="10" spans="1:10" ht="13.9" x14ac:dyDescent="0.25">
      <c r="A10" s="88"/>
    </row>
    <row r="11" spans="1:10" ht="9" customHeight="1" x14ac:dyDescent="0.25"/>
    <row r="12" spans="1:10" ht="13.15" x14ac:dyDescent="0.25">
      <c r="A12" s="39"/>
      <c r="B12" s="6" t="s">
        <v>82</v>
      </c>
      <c r="C12" s="4" t="s">
        <v>85</v>
      </c>
      <c r="D12" s="4"/>
      <c r="E12" s="4"/>
    </row>
    <row r="13" spans="1:10" ht="13.15" x14ac:dyDescent="0.25">
      <c r="B13" s="6" t="s">
        <v>84</v>
      </c>
      <c r="C13" s="410">
        <v>42867</v>
      </c>
      <c r="D13" s="410"/>
      <c r="J13" s="95"/>
    </row>
    <row r="14" spans="1:10" x14ac:dyDescent="0.2">
      <c r="A14" s="7"/>
      <c r="B14" s="7" t="s">
        <v>83</v>
      </c>
      <c r="C14" s="5" t="s">
        <v>348</v>
      </c>
      <c r="D14" s="5"/>
      <c r="E14" s="5"/>
      <c r="F14" s="5"/>
    </row>
    <row r="15" spans="1:10" x14ac:dyDescent="0.2">
      <c r="B15" s="7" t="s">
        <v>104</v>
      </c>
      <c r="C15" s="5" t="s">
        <v>347</v>
      </c>
      <c r="D15" s="5"/>
      <c r="E15" s="4"/>
    </row>
    <row r="16" spans="1:10" x14ac:dyDescent="0.2">
      <c r="A16" s="6"/>
      <c r="B16" s="6" t="s">
        <v>86</v>
      </c>
      <c r="C16" s="94">
        <v>2012</v>
      </c>
      <c r="D16" s="4"/>
      <c r="E16" s="4"/>
    </row>
    <row r="17" spans="1:10" ht="4.9000000000000004" customHeight="1" x14ac:dyDescent="0.25">
      <c r="A17" s="6"/>
      <c r="B17" s="6"/>
      <c r="C17" s="4"/>
      <c r="D17" s="4"/>
      <c r="E17" s="4"/>
    </row>
    <row r="18" spans="1:10" ht="13.9" thickBot="1" x14ac:dyDescent="0.3">
      <c r="C18" s="408" t="s">
        <v>249</v>
      </c>
      <c r="D18" s="408"/>
      <c r="E18" s="408"/>
      <c r="F18" s="408"/>
      <c r="G18" s="408"/>
      <c r="H18" s="408"/>
      <c r="I18" s="408"/>
      <c r="J18" s="408"/>
    </row>
    <row r="19" spans="1:10" ht="4.1500000000000004" customHeight="1" thickBot="1" x14ac:dyDescent="0.3"/>
    <row r="20" spans="1:10" ht="16.149999999999999" customHeight="1" x14ac:dyDescent="0.2">
      <c r="A20" s="324" t="s">
        <v>0</v>
      </c>
      <c r="B20" s="322"/>
      <c r="C20" s="320" t="s">
        <v>1</v>
      </c>
      <c r="D20" s="320" t="s">
        <v>2</v>
      </c>
      <c r="E20" s="320" t="s">
        <v>3</v>
      </c>
      <c r="F20" s="320" t="s">
        <v>4</v>
      </c>
      <c r="G20" s="320" t="s">
        <v>5</v>
      </c>
      <c r="H20" s="320" t="s">
        <v>6</v>
      </c>
      <c r="I20" s="320" t="s">
        <v>7</v>
      </c>
      <c r="J20" s="318" t="s">
        <v>8</v>
      </c>
    </row>
    <row r="21" spans="1:10" ht="13.15" customHeight="1" thickBot="1" x14ac:dyDescent="0.25">
      <c r="A21" s="316" t="s">
        <v>36</v>
      </c>
      <c r="B21" s="337"/>
      <c r="C21" s="336" t="s">
        <v>32</v>
      </c>
      <c r="D21" s="336" t="s">
        <v>79</v>
      </c>
      <c r="E21" s="336" t="s">
        <v>80</v>
      </c>
      <c r="F21" s="336" t="s">
        <v>80</v>
      </c>
      <c r="G21" s="336" t="s">
        <v>81</v>
      </c>
      <c r="H21" s="336" t="s">
        <v>81</v>
      </c>
      <c r="I21" s="336" t="s">
        <v>81</v>
      </c>
      <c r="J21" s="328" t="s">
        <v>81</v>
      </c>
    </row>
    <row r="22" spans="1:10" ht="13.15" customHeight="1" x14ac:dyDescent="0.2">
      <c r="A22" s="325" t="s">
        <v>9</v>
      </c>
      <c r="B22" s="338"/>
      <c r="C22" s="344">
        <v>84</v>
      </c>
      <c r="D22" s="344">
        <v>1.75</v>
      </c>
      <c r="E22" s="344">
        <v>38.08</v>
      </c>
      <c r="F22" s="344">
        <v>4.84</v>
      </c>
      <c r="G22" s="344">
        <v>24.93</v>
      </c>
      <c r="H22" s="344">
        <v>44.29</v>
      </c>
      <c r="I22" s="344">
        <v>8.66</v>
      </c>
      <c r="J22" s="323">
        <v>14.9</v>
      </c>
    </row>
    <row r="23" spans="1:10" ht="13.15" customHeight="1" x14ac:dyDescent="0.2">
      <c r="A23" s="325" t="s">
        <v>10</v>
      </c>
      <c r="B23" s="338"/>
      <c r="C23" s="344">
        <v>9449.2999999999993</v>
      </c>
      <c r="D23" s="344">
        <v>4.17</v>
      </c>
      <c r="E23" s="344">
        <v>60208.44</v>
      </c>
      <c r="F23" s="344">
        <v>8545.5</v>
      </c>
      <c r="G23" s="344">
        <v>25835.96</v>
      </c>
      <c r="H23" s="344">
        <v>59984.76</v>
      </c>
      <c r="I23" s="344">
        <v>2651.85</v>
      </c>
      <c r="J23" s="323">
        <v>15649.8</v>
      </c>
    </row>
    <row r="24" spans="1:10" ht="13.15" customHeight="1" x14ac:dyDescent="0.2">
      <c r="A24" s="325" t="s">
        <v>11</v>
      </c>
      <c r="B24" s="338"/>
      <c r="C24" s="344">
        <v>7665.2</v>
      </c>
      <c r="D24" s="344">
        <v>1.38</v>
      </c>
      <c r="E24" s="344">
        <v>524.53</v>
      </c>
      <c r="F24" s="344">
        <v>70.64</v>
      </c>
      <c r="G24" s="344">
        <v>455.14</v>
      </c>
      <c r="H24" s="344">
        <v>737.71</v>
      </c>
      <c r="I24" s="344">
        <v>23.94</v>
      </c>
      <c r="J24" s="323">
        <v>123.77</v>
      </c>
    </row>
    <row r="25" spans="1:10" ht="13.15" customHeight="1" x14ac:dyDescent="0.2">
      <c r="A25" s="325" t="s">
        <v>12</v>
      </c>
      <c r="B25" s="338"/>
      <c r="C25" s="344">
        <v>61.8</v>
      </c>
      <c r="D25" s="344">
        <v>10.02</v>
      </c>
      <c r="E25" s="344">
        <v>0.26</v>
      </c>
      <c r="F25" s="344">
        <v>0.03</v>
      </c>
      <c r="G25" s="344">
        <v>26.65</v>
      </c>
      <c r="H25" s="344">
        <v>26.79</v>
      </c>
      <c r="I25" s="344">
        <v>1.41</v>
      </c>
      <c r="J25" s="323">
        <v>1.46</v>
      </c>
    </row>
    <row r="26" spans="1:10" ht="13.15" customHeight="1" x14ac:dyDescent="0.2">
      <c r="A26" s="325" t="s">
        <v>13</v>
      </c>
      <c r="B26" s="338"/>
      <c r="C26" s="344">
        <v>872.3</v>
      </c>
      <c r="D26" s="344">
        <v>8.57</v>
      </c>
      <c r="E26" s="344">
        <v>202.35</v>
      </c>
      <c r="F26" s="344">
        <v>30.95</v>
      </c>
      <c r="G26" s="344">
        <v>33.909999999999997</v>
      </c>
      <c r="H26" s="344">
        <v>157.69999999999999</v>
      </c>
      <c r="I26" s="344">
        <v>16.93</v>
      </c>
      <c r="J26" s="323">
        <v>65.08</v>
      </c>
    </row>
    <row r="27" spans="1:10" ht="13.15" customHeight="1" x14ac:dyDescent="0.2">
      <c r="A27" s="325" t="s">
        <v>14</v>
      </c>
      <c r="B27" s="338"/>
      <c r="C27" s="344">
        <v>1193.5</v>
      </c>
      <c r="D27" s="344">
        <v>1.17</v>
      </c>
      <c r="E27" s="344">
        <v>228.76</v>
      </c>
      <c r="F27" s="344">
        <v>31.11</v>
      </c>
      <c r="G27" s="344">
        <v>790.73</v>
      </c>
      <c r="H27" s="344">
        <v>915.18</v>
      </c>
      <c r="I27" s="344">
        <v>491.19</v>
      </c>
      <c r="J27" s="323">
        <v>535.13</v>
      </c>
    </row>
    <row r="28" spans="1:10" ht="13.15" customHeight="1" x14ac:dyDescent="0.2">
      <c r="A28" s="325" t="s">
        <v>15</v>
      </c>
      <c r="B28" s="338"/>
      <c r="C28" s="344">
        <v>108.7</v>
      </c>
      <c r="D28" s="344">
        <v>6.85</v>
      </c>
      <c r="E28" s="344">
        <v>108.71</v>
      </c>
      <c r="F28" s="344">
        <v>13.81</v>
      </c>
      <c r="G28" s="344">
        <v>84.41</v>
      </c>
      <c r="H28" s="344">
        <v>139.63999999999999</v>
      </c>
      <c r="I28" s="344">
        <v>1.7</v>
      </c>
      <c r="J28" s="323">
        <v>19.489999999999998</v>
      </c>
    </row>
    <row r="29" spans="1:10" ht="13.15" customHeight="1" x14ac:dyDescent="0.2">
      <c r="A29" s="325" t="s">
        <v>16</v>
      </c>
      <c r="B29" s="338"/>
      <c r="C29" s="344">
        <v>0</v>
      </c>
      <c r="D29" s="344">
        <v>0</v>
      </c>
      <c r="E29" s="344">
        <v>0</v>
      </c>
      <c r="F29" s="344">
        <v>0</v>
      </c>
      <c r="G29" s="344">
        <v>0</v>
      </c>
      <c r="H29" s="344">
        <v>0</v>
      </c>
      <c r="I29" s="344">
        <v>0</v>
      </c>
      <c r="J29" s="323">
        <v>0</v>
      </c>
    </row>
    <row r="30" spans="1:10" ht="13.15" customHeight="1" x14ac:dyDescent="0.2">
      <c r="A30" s="325" t="s">
        <v>17</v>
      </c>
      <c r="B30" s="338"/>
      <c r="C30" s="344">
        <v>0</v>
      </c>
      <c r="D30" s="344">
        <v>0</v>
      </c>
      <c r="E30" s="344">
        <v>0</v>
      </c>
      <c r="F30" s="344">
        <v>0</v>
      </c>
      <c r="G30" s="344">
        <v>0</v>
      </c>
      <c r="H30" s="344">
        <v>0</v>
      </c>
      <c r="I30" s="344">
        <v>0</v>
      </c>
      <c r="J30" s="323">
        <v>0</v>
      </c>
    </row>
    <row r="31" spans="1:10" ht="13.15" customHeight="1" x14ac:dyDescent="0.2">
      <c r="A31" s="325" t="s">
        <v>18</v>
      </c>
      <c r="B31" s="338"/>
      <c r="C31" s="344">
        <v>0</v>
      </c>
      <c r="D31" s="344">
        <v>0</v>
      </c>
      <c r="E31" s="344">
        <v>0</v>
      </c>
      <c r="F31" s="344">
        <v>0</v>
      </c>
      <c r="G31" s="344">
        <v>0</v>
      </c>
      <c r="H31" s="344">
        <v>0</v>
      </c>
      <c r="I31" s="344">
        <v>0</v>
      </c>
      <c r="J31" s="323">
        <v>0</v>
      </c>
    </row>
    <row r="32" spans="1:10" ht="13.15" customHeight="1" x14ac:dyDescent="0.2">
      <c r="A32" s="325" t="s">
        <v>19</v>
      </c>
      <c r="B32" s="338"/>
      <c r="C32" s="344">
        <v>467</v>
      </c>
      <c r="D32" s="344">
        <v>4.92</v>
      </c>
      <c r="E32" s="344">
        <v>0</v>
      </c>
      <c r="F32" s="344">
        <v>14.52</v>
      </c>
      <c r="G32" s="344">
        <v>187.97</v>
      </c>
      <c r="H32" s="344">
        <v>664.49</v>
      </c>
      <c r="I32" s="344">
        <v>26.7</v>
      </c>
      <c r="J32" s="323">
        <v>71.83</v>
      </c>
    </row>
    <row r="33" spans="1:10" ht="13.15" customHeight="1" x14ac:dyDescent="0.2">
      <c r="A33" s="325" t="s">
        <v>20</v>
      </c>
      <c r="B33" s="338"/>
      <c r="C33" s="344">
        <v>647.4</v>
      </c>
      <c r="D33" s="344">
        <v>12.96</v>
      </c>
      <c r="E33" s="344">
        <v>0</v>
      </c>
      <c r="F33" s="344">
        <v>81.599999999999994</v>
      </c>
      <c r="G33" s="344">
        <v>1526.61</v>
      </c>
      <c r="H33" s="344">
        <v>4691.45</v>
      </c>
      <c r="I33" s="344">
        <v>197.25</v>
      </c>
      <c r="J33" s="323">
        <v>497.05</v>
      </c>
    </row>
    <row r="34" spans="1:10" ht="13.15" customHeight="1" x14ac:dyDescent="0.2">
      <c r="A34" s="325" t="s">
        <v>21</v>
      </c>
      <c r="B34" s="338"/>
      <c r="C34" s="344">
        <v>1648.2</v>
      </c>
      <c r="D34" s="344">
        <v>18.28</v>
      </c>
      <c r="E34" s="344">
        <v>0</v>
      </c>
      <c r="F34" s="344">
        <v>205.57</v>
      </c>
      <c r="G34" s="344">
        <v>3954.07</v>
      </c>
      <c r="H34" s="344">
        <v>12132.11</v>
      </c>
      <c r="I34" s="344">
        <v>510.02</v>
      </c>
      <c r="J34" s="323">
        <v>1284.1300000000001</v>
      </c>
    </row>
    <row r="35" spans="1:10" ht="13.15" customHeight="1" x14ac:dyDescent="0.2">
      <c r="A35" s="325" t="s">
        <v>22</v>
      </c>
      <c r="B35" s="338"/>
      <c r="C35" s="344">
        <v>11848.7</v>
      </c>
      <c r="D35" s="344">
        <v>4.92</v>
      </c>
      <c r="E35" s="344">
        <v>0</v>
      </c>
      <c r="F35" s="344">
        <v>369.66</v>
      </c>
      <c r="G35" s="344">
        <v>4751.71</v>
      </c>
      <c r="H35" s="344">
        <v>16858.55</v>
      </c>
      <c r="I35" s="344">
        <v>675.89</v>
      </c>
      <c r="J35" s="323">
        <v>1821.08</v>
      </c>
    </row>
    <row r="36" spans="1:10" ht="13.15" customHeight="1" x14ac:dyDescent="0.2">
      <c r="A36" s="325" t="s">
        <v>23</v>
      </c>
      <c r="B36" s="338"/>
      <c r="C36" s="344">
        <v>291.60000000000002</v>
      </c>
      <c r="D36" s="344">
        <v>8.07</v>
      </c>
      <c r="E36" s="344">
        <v>0</v>
      </c>
      <c r="F36" s="344">
        <v>36.619999999999997</v>
      </c>
      <c r="G36" s="344">
        <v>689.94</v>
      </c>
      <c r="H36" s="344">
        <v>2120.9499999999998</v>
      </c>
      <c r="I36" s="344">
        <v>89.22</v>
      </c>
      <c r="J36" s="323">
        <v>224.85</v>
      </c>
    </row>
    <row r="37" spans="1:10" ht="13.15" customHeight="1" x14ac:dyDescent="0.2">
      <c r="A37" s="325" t="s">
        <v>24</v>
      </c>
      <c r="B37" s="338"/>
      <c r="C37" s="344">
        <v>86.5</v>
      </c>
      <c r="D37" s="344">
        <v>11.06</v>
      </c>
      <c r="E37" s="344">
        <v>0</v>
      </c>
      <c r="F37" s="344">
        <v>11.06</v>
      </c>
      <c r="G37" s="344">
        <v>197.42</v>
      </c>
      <c r="H37" s="344">
        <v>609.82000000000005</v>
      </c>
      <c r="I37" s="344">
        <v>25.68</v>
      </c>
      <c r="J37" s="323">
        <v>64.900000000000006</v>
      </c>
    </row>
    <row r="38" spans="1:10" ht="13.15" customHeight="1" x14ac:dyDescent="0.2">
      <c r="A38" s="325" t="s">
        <v>25</v>
      </c>
      <c r="B38" s="338"/>
      <c r="C38" s="344" t="s">
        <v>26</v>
      </c>
      <c r="D38" s="344" t="s">
        <v>26</v>
      </c>
      <c r="E38" s="344" t="s">
        <v>26</v>
      </c>
      <c r="F38" s="344" t="s">
        <v>26</v>
      </c>
      <c r="G38" s="344" t="s">
        <v>26</v>
      </c>
      <c r="H38" s="344">
        <v>1005.86</v>
      </c>
      <c r="I38" s="344" t="s">
        <v>26</v>
      </c>
      <c r="J38" s="323">
        <v>415.26</v>
      </c>
    </row>
    <row r="39" spans="1:10" ht="13.15" customHeight="1" x14ac:dyDescent="0.2">
      <c r="A39" s="325" t="s">
        <v>27</v>
      </c>
      <c r="B39" s="338"/>
      <c r="C39" s="344" t="s">
        <v>26</v>
      </c>
      <c r="D39" s="344" t="s">
        <v>26</v>
      </c>
      <c r="E39" s="344" t="s">
        <v>26</v>
      </c>
      <c r="F39" s="344">
        <v>0</v>
      </c>
      <c r="G39" s="344" t="s">
        <v>26</v>
      </c>
      <c r="H39" s="344">
        <v>0</v>
      </c>
      <c r="I39" s="344" t="s">
        <v>26</v>
      </c>
      <c r="J39" s="323">
        <v>0</v>
      </c>
    </row>
    <row r="40" spans="1:10" ht="13.15" customHeight="1" x14ac:dyDescent="0.2">
      <c r="A40" s="325" t="s">
        <v>28</v>
      </c>
      <c r="B40" s="338"/>
      <c r="C40" s="344" t="s">
        <v>26</v>
      </c>
      <c r="D40" s="344" t="s">
        <v>26</v>
      </c>
      <c r="E40" s="344" t="s">
        <v>26</v>
      </c>
      <c r="F40" s="344">
        <v>9249.17</v>
      </c>
      <c r="G40" s="344" t="s">
        <v>26</v>
      </c>
      <c r="H40" s="344">
        <v>9250.59</v>
      </c>
      <c r="I40" s="344" t="s">
        <v>26</v>
      </c>
      <c r="J40" s="323">
        <v>3218.75</v>
      </c>
    </row>
    <row r="41" spans="1:10" ht="13.15" customHeight="1" x14ac:dyDescent="0.2">
      <c r="A41" s="325" t="s">
        <v>29</v>
      </c>
      <c r="B41" s="338"/>
      <c r="C41" s="344" t="s">
        <v>26</v>
      </c>
      <c r="D41" s="344" t="s">
        <v>26</v>
      </c>
      <c r="E41" s="344" t="s">
        <v>26</v>
      </c>
      <c r="F41" s="344" t="s">
        <v>26</v>
      </c>
      <c r="G41" s="344">
        <v>346486.23628999997</v>
      </c>
      <c r="H41" s="344">
        <v>346486.23628999997</v>
      </c>
      <c r="I41" s="344">
        <v>27650.454269999998</v>
      </c>
      <c r="J41" s="323">
        <v>27650.454269999998</v>
      </c>
    </row>
    <row r="42" spans="1:10" ht="13.15" customHeight="1" x14ac:dyDescent="0.2">
      <c r="A42" s="325" t="s">
        <v>30</v>
      </c>
      <c r="B42" s="338"/>
      <c r="C42" s="344" t="s">
        <v>26</v>
      </c>
      <c r="D42" s="344" t="s">
        <v>26</v>
      </c>
      <c r="E42" s="344" t="s">
        <v>26</v>
      </c>
      <c r="F42" s="344" t="s">
        <v>26</v>
      </c>
      <c r="G42" s="344">
        <v>110877.17412</v>
      </c>
      <c r="H42" s="344">
        <v>110877.17412</v>
      </c>
      <c r="I42" s="344">
        <v>12924.143830000001</v>
      </c>
      <c r="J42" s="323">
        <v>12924.143830000001</v>
      </c>
    </row>
    <row r="43" spans="1:10" ht="13.9" customHeight="1" thickBot="1" x14ac:dyDescent="0.25">
      <c r="A43" s="321" t="s">
        <v>31</v>
      </c>
      <c r="B43" s="319"/>
      <c r="C43" s="317" t="s">
        <v>26</v>
      </c>
      <c r="D43" s="317" t="s">
        <v>26</v>
      </c>
      <c r="E43" s="317" t="s">
        <v>26</v>
      </c>
      <c r="F43" s="317" t="s">
        <v>26</v>
      </c>
      <c r="G43" s="317">
        <v>39385.629999999997</v>
      </c>
      <c r="H43" s="317">
        <v>39385.629999999997</v>
      </c>
      <c r="I43" s="317">
        <v>1042.06</v>
      </c>
      <c r="J43" s="327">
        <v>1042.06</v>
      </c>
    </row>
    <row r="44" spans="1:10" x14ac:dyDescent="0.2">
      <c r="A44" s="4"/>
      <c r="B44" s="4"/>
      <c r="C44" s="4"/>
      <c r="D44" s="4"/>
      <c r="E44" s="4"/>
      <c r="F44" s="4"/>
      <c r="G44" s="4"/>
      <c r="H44" s="4"/>
      <c r="I44" s="4"/>
      <c r="J44" s="4"/>
    </row>
  </sheetData>
  <sheetProtection sheet="1" objects="1" scenarios="1"/>
  <mergeCells count="4">
    <mergeCell ref="C18:J18"/>
    <mergeCell ref="A9:J9"/>
    <mergeCell ref="C13:D13"/>
    <mergeCell ref="B5:C5"/>
  </mergeCells>
  <pageMargins left="0.75" right="0.35" top="0.5" bottom="0.75" header="0.3" footer="0.3"/>
  <pageSetup scale="94" orientation="portrait" r:id="rId1"/>
  <headerFooter>
    <oddFooter>&amp;L&amp;"Arial,Regular"&amp;9Section 3: Christina Basin MapShed Output&amp;C&amp;"Arial,Regular"&amp;9Page &amp;P of &amp;N&amp;R&amp;"Arial,Regular"&amp;9Christina Basin Loading Rates Tool (May 12,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79"/>
  <sheetViews>
    <sheetView view="pageLayout" topLeftCell="A22" zoomScaleNormal="100" zoomScaleSheetLayoutView="100" workbookViewId="0">
      <selection activeCell="F76" sqref="F76:F78"/>
    </sheetView>
  </sheetViews>
  <sheetFormatPr defaultColWidth="8.85546875" defaultRowHeight="12.75" x14ac:dyDescent="0.2"/>
  <cols>
    <col min="1" max="1" width="14.7109375" style="1" customWidth="1"/>
    <col min="2" max="2" width="6.5703125" style="1" customWidth="1"/>
    <col min="3" max="3" width="33.7109375" style="1" customWidth="1"/>
    <col min="4" max="4" width="1" style="1" customWidth="1"/>
    <col min="5" max="5" width="3.28515625" style="1" customWidth="1"/>
    <col min="6" max="6" width="35" style="1" customWidth="1"/>
    <col min="7" max="16384" width="8.85546875" style="1"/>
  </cols>
  <sheetData>
    <row r="1" spans="1:7" ht="15.6" x14ac:dyDescent="0.3">
      <c r="A1" s="1" t="s">
        <v>260</v>
      </c>
      <c r="B1" s="40"/>
      <c r="C1" s="40"/>
    </row>
    <row r="3" spans="1:7" ht="15.6" x14ac:dyDescent="0.3">
      <c r="A3" s="300" t="s">
        <v>323</v>
      </c>
      <c r="C3" s="87"/>
    </row>
    <row r="5" spans="1:7" ht="7.15" customHeight="1" x14ac:dyDescent="0.25">
      <c r="E5" s="82"/>
      <c r="F5" s="82"/>
      <c r="G5" s="82"/>
    </row>
    <row r="6" spans="1:7" ht="14.45" customHeight="1" x14ac:dyDescent="0.2">
      <c r="A6" s="39"/>
      <c r="B6" s="102"/>
      <c r="D6" s="86"/>
      <c r="E6" s="84"/>
      <c r="F6" s="85"/>
      <c r="G6" s="82"/>
    </row>
    <row r="7" spans="1:7" ht="10.5" customHeight="1" x14ac:dyDescent="0.2">
      <c r="D7" s="86"/>
      <c r="E7" s="121"/>
      <c r="F7" s="121"/>
      <c r="G7" s="82"/>
    </row>
    <row r="8" spans="1:7" ht="8.4499999999999993" customHeight="1" x14ac:dyDescent="0.2">
      <c r="A8" s="411"/>
      <c r="B8" s="411"/>
      <c r="C8" s="411"/>
      <c r="D8" s="86"/>
      <c r="E8" s="121"/>
      <c r="F8" s="121"/>
      <c r="G8" s="82"/>
    </row>
    <row r="9" spans="1:7" ht="8.4499999999999993" customHeight="1" x14ac:dyDescent="0.2">
      <c r="A9" s="411"/>
      <c r="B9" s="411"/>
      <c r="C9" s="411"/>
      <c r="D9" s="86"/>
      <c r="E9" s="121"/>
      <c r="F9" s="121"/>
      <c r="G9" s="82"/>
    </row>
    <row r="10" spans="1:7" ht="8.4499999999999993" customHeight="1" x14ac:dyDescent="0.2">
      <c r="D10" s="86"/>
      <c r="E10" s="121"/>
      <c r="F10" s="121"/>
      <c r="G10" s="82"/>
    </row>
    <row r="11" spans="1:7" ht="8.4499999999999993" customHeight="1" x14ac:dyDescent="0.2">
      <c r="D11" s="86"/>
      <c r="E11" s="121"/>
      <c r="F11" s="121"/>
      <c r="G11" s="82"/>
    </row>
    <row r="12" spans="1:7" ht="8.4499999999999993" customHeight="1" x14ac:dyDescent="0.2">
      <c r="D12" s="86"/>
      <c r="E12" s="121"/>
      <c r="F12" s="121"/>
      <c r="G12" s="82"/>
    </row>
    <row r="13" spans="1:7" ht="8.4499999999999993" customHeight="1" x14ac:dyDescent="0.2">
      <c r="D13" s="86"/>
      <c r="E13" s="121"/>
      <c r="F13" s="121"/>
      <c r="G13" s="82"/>
    </row>
    <row r="14" spans="1:7" ht="8.4499999999999993" customHeight="1" x14ac:dyDescent="0.2">
      <c r="D14" s="86"/>
      <c r="E14" s="121"/>
      <c r="F14" s="121"/>
      <c r="G14" s="82"/>
    </row>
    <row r="15" spans="1:7" ht="8.4499999999999993" customHeight="1" x14ac:dyDescent="0.2">
      <c r="D15" s="86"/>
      <c r="E15" s="121"/>
      <c r="F15" s="121"/>
      <c r="G15" s="82"/>
    </row>
    <row r="16" spans="1:7" ht="8.4499999999999993" customHeight="1" x14ac:dyDescent="0.2">
      <c r="D16" s="86"/>
      <c r="E16" s="121"/>
      <c r="F16" s="121"/>
      <c r="G16" s="82"/>
    </row>
    <row r="17" spans="4:7" ht="8.4499999999999993" customHeight="1" x14ac:dyDescent="0.2">
      <c r="D17" s="86"/>
      <c r="E17" s="121"/>
      <c r="F17" s="121"/>
      <c r="G17" s="82"/>
    </row>
    <row r="18" spans="4:7" ht="8.4499999999999993" customHeight="1" x14ac:dyDescent="0.2">
      <c r="D18" s="86"/>
      <c r="E18" s="121"/>
      <c r="F18" s="121"/>
      <c r="G18" s="82"/>
    </row>
    <row r="19" spans="4:7" ht="8.4499999999999993" customHeight="1" x14ac:dyDescent="0.2">
      <c r="D19" s="86"/>
      <c r="E19" s="121"/>
      <c r="F19" s="121"/>
      <c r="G19" s="82"/>
    </row>
    <row r="20" spans="4:7" ht="8.4499999999999993" customHeight="1" x14ac:dyDescent="0.2">
      <c r="D20" s="86"/>
      <c r="E20" s="121"/>
      <c r="F20" s="121"/>
      <c r="G20" s="82"/>
    </row>
    <row r="21" spans="4:7" ht="8.4499999999999993" customHeight="1" x14ac:dyDescent="0.2">
      <c r="D21" s="86"/>
      <c r="E21" s="121"/>
      <c r="F21" s="121"/>
      <c r="G21" s="82"/>
    </row>
    <row r="22" spans="4:7" ht="8.4499999999999993" customHeight="1" x14ac:dyDescent="0.2">
      <c r="D22" s="86"/>
      <c r="E22" s="121"/>
      <c r="F22" s="121"/>
      <c r="G22" s="82"/>
    </row>
    <row r="23" spans="4:7" ht="8.4499999999999993" customHeight="1" x14ac:dyDescent="0.2">
      <c r="D23" s="86"/>
      <c r="E23" s="121"/>
      <c r="F23" s="121"/>
      <c r="G23" s="82"/>
    </row>
    <row r="24" spans="4:7" ht="8.4499999999999993" customHeight="1" x14ac:dyDescent="0.2">
      <c r="D24" s="86"/>
      <c r="E24" s="121"/>
      <c r="F24" s="121"/>
      <c r="G24" s="82"/>
    </row>
    <row r="25" spans="4:7" ht="8.4499999999999993" customHeight="1" x14ac:dyDescent="0.2">
      <c r="D25" s="86"/>
      <c r="E25" s="121"/>
      <c r="F25" s="121"/>
      <c r="G25" s="82"/>
    </row>
    <row r="26" spans="4:7" ht="8.4499999999999993" customHeight="1" x14ac:dyDescent="0.2">
      <c r="D26" s="86"/>
      <c r="E26" s="121"/>
      <c r="F26" s="121"/>
      <c r="G26" s="82"/>
    </row>
    <row r="27" spans="4:7" ht="8.4499999999999993" customHeight="1" x14ac:dyDescent="0.2">
      <c r="D27" s="86"/>
      <c r="E27" s="121"/>
      <c r="F27" s="121"/>
      <c r="G27" s="82"/>
    </row>
    <row r="28" spans="4:7" ht="8.4499999999999993" customHeight="1" x14ac:dyDescent="0.2">
      <c r="D28" s="86"/>
      <c r="E28" s="121"/>
      <c r="F28" s="121"/>
      <c r="G28" s="82"/>
    </row>
    <row r="29" spans="4:7" ht="8.4499999999999993" customHeight="1" x14ac:dyDescent="0.2">
      <c r="D29" s="86"/>
      <c r="E29" s="121"/>
      <c r="F29" s="121"/>
      <c r="G29" s="82"/>
    </row>
    <row r="30" spans="4:7" ht="8.4499999999999993" customHeight="1" x14ac:dyDescent="0.2">
      <c r="D30" s="86"/>
      <c r="E30" s="121"/>
      <c r="F30" s="121"/>
      <c r="G30" s="82"/>
    </row>
    <row r="31" spans="4:7" ht="8.4499999999999993" customHeight="1" x14ac:dyDescent="0.2">
      <c r="D31" s="86"/>
      <c r="E31" s="121"/>
      <c r="F31" s="121"/>
      <c r="G31" s="82"/>
    </row>
    <row r="32" spans="4:7" ht="8.4499999999999993" customHeight="1" x14ac:dyDescent="0.2">
      <c r="D32" s="86"/>
      <c r="E32" s="121"/>
      <c r="F32" s="121"/>
      <c r="G32" s="82"/>
    </row>
    <row r="33" spans="4:7" ht="8.4499999999999993" customHeight="1" x14ac:dyDescent="0.2">
      <c r="D33" s="86"/>
      <c r="E33" s="121"/>
      <c r="F33" s="121"/>
      <c r="G33" s="82"/>
    </row>
    <row r="34" spans="4:7" ht="8.4499999999999993" customHeight="1" x14ac:dyDescent="0.2">
      <c r="D34" s="86"/>
      <c r="E34" s="121"/>
      <c r="F34" s="121"/>
      <c r="G34" s="82"/>
    </row>
    <row r="35" spans="4:7" ht="8.4499999999999993" customHeight="1" x14ac:dyDescent="0.2">
      <c r="D35" s="86"/>
      <c r="E35" s="121"/>
      <c r="F35" s="121"/>
      <c r="G35" s="82"/>
    </row>
    <row r="36" spans="4:7" ht="8.4499999999999993" customHeight="1" x14ac:dyDescent="0.2">
      <c r="D36" s="86"/>
      <c r="E36" s="121"/>
      <c r="F36" s="121"/>
      <c r="G36" s="82"/>
    </row>
    <row r="37" spans="4:7" ht="8.4499999999999993" customHeight="1" x14ac:dyDescent="0.2">
      <c r="D37" s="86"/>
      <c r="E37" s="121"/>
      <c r="F37" s="121"/>
      <c r="G37" s="82"/>
    </row>
    <row r="38" spans="4:7" ht="8.4499999999999993" customHeight="1" x14ac:dyDescent="0.2">
      <c r="D38" s="86"/>
      <c r="E38" s="121"/>
      <c r="F38" s="121"/>
      <c r="G38" s="82"/>
    </row>
    <row r="39" spans="4:7" ht="8.4499999999999993" customHeight="1" x14ac:dyDescent="0.2">
      <c r="D39" s="86"/>
      <c r="E39" s="121"/>
      <c r="F39" s="121"/>
      <c r="G39" s="82"/>
    </row>
    <row r="40" spans="4:7" ht="8.4499999999999993" customHeight="1" x14ac:dyDescent="0.2">
      <c r="D40" s="86"/>
      <c r="E40" s="121"/>
      <c r="F40" s="121"/>
      <c r="G40" s="82"/>
    </row>
    <row r="41" spans="4:7" ht="8.4499999999999993" customHeight="1" x14ac:dyDescent="0.2">
      <c r="D41" s="86"/>
      <c r="E41" s="121"/>
      <c r="F41" s="121"/>
      <c r="G41" s="82"/>
    </row>
    <row r="42" spans="4:7" ht="10.9" customHeight="1" x14ac:dyDescent="0.2">
      <c r="D42" s="86"/>
      <c r="E42" s="121"/>
      <c r="F42" s="121"/>
      <c r="G42" s="82"/>
    </row>
    <row r="43" spans="4:7" ht="8.4499999999999993" customHeight="1" x14ac:dyDescent="0.2">
      <c r="D43" s="86"/>
      <c r="E43" s="121"/>
      <c r="F43" s="121"/>
      <c r="G43" s="82"/>
    </row>
    <row r="44" spans="4:7" ht="8.4499999999999993" customHeight="1" x14ac:dyDescent="0.2">
      <c r="D44" s="86"/>
      <c r="E44" s="121"/>
      <c r="F44" s="121"/>
      <c r="G44" s="82"/>
    </row>
    <row r="45" spans="4:7" ht="8.4499999999999993" customHeight="1" x14ac:dyDescent="0.2">
      <c r="D45" s="86"/>
      <c r="E45" s="121"/>
      <c r="F45" s="121"/>
      <c r="G45" s="82"/>
    </row>
    <row r="46" spans="4:7" ht="8.4499999999999993" customHeight="1" x14ac:dyDescent="0.2">
      <c r="D46" s="86"/>
      <c r="E46" s="121"/>
      <c r="F46" s="121"/>
      <c r="G46" s="82"/>
    </row>
    <row r="47" spans="4:7" ht="8.4499999999999993" customHeight="1" x14ac:dyDescent="0.2">
      <c r="D47" s="86"/>
      <c r="E47" s="121"/>
      <c r="F47" s="121"/>
      <c r="G47" s="82"/>
    </row>
    <row r="48" spans="4:7" ht="8.4499999999999993" customHeight="1" x14ac:dyDescent="0.2">
      <c r="D48" s="86"/>
      <c r="E48" s="121"/>
      <c r="F48" s="121"/>
      <c r="G48" s="82"/>
    </row>
    <row r="49" spans="4:7" ht="8.4499999999999993" customHeight="1" x14ac:dyDescent="0.2">
      <c r="D49" s="86"/>
      <c r="E49" s="121"/>
      <c r="F49" s="121"/>
      <c r="G49" s="82"/>
    </row>
    <row r="50" spans="4:7" ht="8.4499999999999993" customHeight="1" x14ac:dyDescent="0.2">
      <c r="D50" s="86"/>
      <c r="E50" s="121"/>
      <c r="F50" s="121"/>
      <c r="G50" s="82"/>
    </row>
    <row r="51" spans="4:7" ht="8.4499999999999993" customHeight="1" x14ac:dyDescent="0.2">
      <c r="D51" s="86"/>
      <c r="E51" s="121"/>
      <c r="F51" s="121"/>
      <c r="G51" s="82"/>
    </row>
    <row r="52" spans="4:7" ht="10.9" customHeight="1" x14ac:dyDescent="0.2">
      <c r="D52" s="86"/>
      <c r="E52" s="122"/>
      <c r="F52" s="122"/>
      <c r="G52" s="82"/>
    </row>
    <row r="53" spans="4:7" ht="8.4499999999999993" customHeight="1" x14ac:dyDescent="0.2">
      <c r="D53" s="86"/>
      <c r="E53" s="121"/>
      <c r="F53" s="121"/>
      <c r="G53" s="82"/>
    </row>
    <row r="54" spans="4:7" ht="8.4499999999999993" customHeight="1" x14ac:dyDescent="0.2">
      <c r="D54" s="86"/>
      <c r="E54" s="121"/>
      <c r="F54" s="121"/>
      <c r="G54" s="82"/>
    </row>
    <row r="55" spans="4:7" ht="8.4499999999999993" customHeight="1" x14ac:dyDescent="0.2">
      <c r="D55" s="86"/>
      <c r="E55" s="121"/>
      <c r="F55" s="121"/>
      <c r="G55" s="82"/>
    </row>
    <row r="56" spans="4:7" ht="8.4499999999999993" customHeight="1" x14ac:dyDescent="0.2">
      <c r="D56" s="86"/>
      <c r="E56" s="121"/>
      <c r="F56" s="121"/>
      <c r="G56" s="82"/>
    </row>
    <row r="57" spans="4:7" ht="8.4499999999999993" customHeight="1" x14ac:dyDescent="0.2">
      <c r="D57" s="86"/>
      <c r="E57" s="121"/>
      <c r="F57" s="121"/>
      <c r="G57" s="82"/>
    </row>
    <row r="58" spans="4:7" ht="8.4499999999999993" customHeight="1" x14ac:dyDescent="0.2">
      <c r="D58" s="86"/>
      <c r="E58" s="121"/>
      <c r="F58" s="121"/>
      <c r="G58" s="82"/>
    </row>
    <row r="59" spans="4:7" ht="8.4499999999999993" customHeight="1" x14ac:dyDescent="0.2">
      <c r="D59" s="86"/>
      <c r="E59" s="121"/>
      <c r="F59" s="121"/>
      <c r="G59" s="82"/>
    </row>
    <row r="60" spans="4:7" ht="8.4499999999999993" customHeight="1" x14ac:dyDescent="0.2">
      <c r="D60" s="86"/>
      <c r="E60" s="121"/>
      <c r="F60" s="121"/>
      <c r="G60" s="82"/>
    </row>
    <row r="61" spans="4:7" ht="8.4499999999999993" customHeight="1" x14ac:dyDescent="0.2">
      <c r="D61" s="86"/>
      <c r="E61" s="121"/>
      <c r="F61" s="121"/>
      <c r="G61" s="82"/>
    </row>
    <row r="62" spans="4:7" ht="8.4499999999999993" customHeight="1" x14ac:dyDescent="0.2">
      <c r="D62" s="86"/>
      <c r="E62" s="121"/>
      <c r="F62" s="121"/>
      <c r="G62" s="82"/>
    </row>
    <row r="63" spans="4:7" ht="8.4499999999999993" customHeight="1" x14ac:dyDescent="0.2">
      <c r="D63" s="86"/>
      <c r="E63" s="123"/>
      <c r="F63" s="123"/>
      <c r="G63" s="82"/>
    </row>
    <row r="64" spans="4:7" ht="8.4499999999999993" customHeight="1" x14ac:dyDescent="0.2">
      <c r="D64" s="86"/>
      <c r="E64" s="123"/>
      <c r="F64" s="123"/>
      <c r="G64" s="82"/>
    </row>
    <row r="65" spans="4:7" ht="8.4499999999999993" customHeight="1" x14ac:dyDescent="0.2">
      <c r="D65" s="86"/>
      <c r="E65" s="123"/>
      <c r="F65" s="123"/>
      <c r="G65" s="82"/>
    </row>
    <row r="66" spans="4:7" ht="8.4499999999999993" customHeight="1" x14ac:dyDescent="0.2">
      <c r="D66" s="86"/>
      <c r="E66" s="123"/>
      <c r="F66" s="123"/>
      <c r="G66" s="82"/>
    </row>
    <row r="67" spans="4:7" ht="8.4499999999999993" customHeight="1" x14ac:dyDescent="0.2">
      <c r="D67" s="86"/>
      <c r="E67" s="121"/>
      <c r="F67" s="121"/>
      <c r="G67" s="82"/>
    </row>
    <row r="68" spans="4:7" ht="8.4499999999999993" customHeight="1" x14ac:dyDescent="0.2">
      <c r="D68" s="86"/>
      <c r="E68" s="121"/>
      <c r="F68" s="121"/>
      <c r="G68" s="82"/>
    </row>
    <row r="69" spans="4:7" ht="8.4499999999999993" customHeight="1" x14ac:dyDescent="0.2">
      <c r="D69" s="86"/>
      <c r="E69" s="121"/>
      <c r="F69" s="121"/>
      <c r="G69" s="82"/>
    </row>
    <row r="70" spans="4:7" ht="10.9" customHeight="1" x14ac:dyDescent="0.2">
      <c r="D70" s="86"/>
      <c r="E70" s="122"/>
      <c r="F70" s="122"/>
      <c r="G70" s="82"/>
    </row>
    <row r="71" spans="4:7" ht="8.4499999999999993" customHeight="1" x14ac:dyDescent="0.2">
      <c r="D71" s="83"/>
      <c r="E71" s="121"/>
      <c r="F71" s="121"/>
      <c r="G71" s="82"/>
    </row>
    <row r="72" spans="4:7" ht="8.4499999999999993" customHeight="1" x14ac:dyDescent="0.2">
      <c r="D72" s="83"/>
      <c r="E72" s="121"/>
      <c r="F72" s="121"/>
      <c r="G72" s="82"/>
    </row>
    <row r="73" spans="4:7" ht="8.4499999999999993" customHeight="1" x14ac:dyDescent="0.2">
      <c r="D73" s="83"/>
      <c r="E73" s="121"/>
      <c r="F73" s="121"/>
      <c r="G73" s="82"/>
    </row>
    <row r="74" spans="4:7" ht="8.4499999999999993" customHeight="1" x14ac:dyDescent="0.2">
      <c r="D74" s="83"/>
      <c r="E74" s="121"/>
      <c r="F74" s="121"/>
      <c r="G74" s="82"/>
    </row>
    <row r="75" spans="4:7" ht="8.4499999999999993" customHeight="1" x14ac:dyDescent="0.2">
      <c r="D75" s="83"/>
      <c r="E75" s="121"/>
      <c r="F75" s="121"/>
      <c r="G75" s="82"/>
    </row>
    <row r="76" spans="4:7" x14ac:dyDescent="0.2">
      <c r="E76" s="82"/>
      <c r="F76" s="82"/>
      <c r="G76" s="82"/>
    </row>
    <row r="77" spans="4:7" x14ac:dyDescent="0.2">
      <c r="E77" s="82"/>
      <c r="F77" s="82"/>
      <c r="G77" s="82"/>
    </row>
    <row r="78" spans="4:7" x14ac:dyDescent="0.2">
      <c r="E78" s="82"/>
      <c r="F78" s="82"/>
      <c r="G78" s="82"/>
    </row>
    <row r="79" spans="4:7" x14ac:dyDescent="0.2">
      <c r="E79" s="82"/>
      <c r="F79" s="82"/>
      <c r="G79" s="82"/>
    </row>
  </sheetData>
  <sortState ref="E4:F79">
    <sortCondition ref="E4:E79"/>
  </sortState>
  <mergeCells count="1">
    <mergeCell ref="A8:C9"/>
  </mergeCells>
  <pageMargins left="0.75" right="0.35" top="0.5" bottom="0.75" header="0.3" footer="0.3"/>
  <pageSetup orientation="portrait" r:id="rId1"/>
  <headerFooter>
    <oddFooter>&amp;L&amp;"Arial,Regular"&amp;9Section 4: Map of Chester County portion Christina Basin&amp;C&amp;"Arial,Regular"&amp;9Page &amp;P of &amp;N&amp;R&amp;"Arial,Regular"&amp;9
Christina Basin Loading Rates Tool (May 12, 2017)</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view="pageLayout" topLeftCell="A10" zoomScaleNormal="80" workbookViewId="0">
      <selection activeCell="B1" sqref="A1:B1"/>
    </sheetView>
  </sheetViews>
  <sheetFormatPr defaultColWidth="8.85546875" defaultRowHeight="12.75" x14ac:dyDescent="0.2"/>
  <cols>
    <col min="1" max="1" width="1.85546875" style="1" customWidth="1"/>
    <col min="2" max="2" width="3.28515625" style="1" customWidth="1"/>
    <col min="3" max="3" width="34.7109375" style="1" customWidth="1"/>
    <col min="4" max="4" width="11.85546875" style="1" customWidth="1"/>
    <col min="5" max="5" width="13.42578125" style="1" customWidth="1"/>
    <col min="6" max="6" width="9.42578125" style="1" customWidth="1"/>
    <col min="7" max="7" width="9.85546875" style="1" customWidth="1"/>
    <col min="8" max="8" width="11" style="1" customWidth="1"/>
    <col min="9" max="9" width="5" style="1" customWidth="1"/>
    <col min="10" max="10" width="10.5703125" style="1" customWidth="1"/>
    <col min="11" max="11" width="8.85546875" style="1"/>
    <col min="12" max="12" width="10.140625" style="1" bestFit="1" customWidth="1"/>
    <col min="13" max="13" width="3.42578125" style="1" customWidth="1"/>
    <col min="14" max="16384" width="8.85546875" style="1"/>
  </cols>
  <sheetData>
    <row r="1" spans="1:8" ht="14.45" customHeight="1" x14ac:dyDescent="0.25">
      <c r="A1" s="331" t="s">
        <v>253</v>
      </c>
      <c r="B1" s="331"/>
      <c r="C1" s="53"/>
    </row>
    <row r="2" spans="1:8" ht="5.45" customHeight="1" x14ac:dyDescent="0.25"/>
    <row r="3" spans="1:8" ht="14.45" customHeight="1" x14ac:dyDescent="0.25">
      <c r="A3" s="1" t="str">
        <f>CONCATENATE("Watershed: ",'Christina Basin MapShed Output'!B3)</f>
        <v>Watershed: Red Clay</v>
      </c>
    </row>
    <row r="4" spans="1:8" ht="5.45" customHeight="1" x14ac:dyDescent="0.25"/>
    <row r="5" spans="1:8" ht="14.45" customHeight="1" x14ac:dyDescent="0.25">
      <c r="A5" s="1" t="str">
        <f>CONCATENATE("Year: ",'Christina Basin MapShed Output'!C16)</f>
        <v>Year: 2012</v>
      </c>
    </row>
    <row r="6" spans="1:8" ht="9" customHeight="1" x14ac:dyDescent="0.25"/>
    <row r="7" spans="1:8" ht="18" customHeight="1" x14ac:dyDescent="0.25">
      <c r="A7" s="412" t="s">
        <v>255</v>
      </c>
      <c r="B7" s="412"/>
      <c r="C7" s="412"/>
      <c r="D7" s="412"/>
      <c r="E7" s="412"/>
      <c r="F7" s="412"/>
      <c r="G7" s="230"/>
    </row>
    <row r="8" spans="1:8" ht="99" customHeight="1" x14ac:dyDescent="0.2">
      <c r="A8" s="407" t="s">
        <v>250</v>
      </c>
      <c r="B8" s="407"/>
      <c r="C8" s="407"/>
      <c r="D8" s="407"/>
      <c r="E8" s="407"/>
      <c r="F8" s="407"/>
      <c r="G8" s="407"/>
      <c r="H8" s="407"/>
    </row>
    <row r="9" spans="1:8" ht="6" customHeight="1" x14ac:dyDescent="0.2"/>
    <row r="10" spans="1:8" ht="8.4499999999999993" customHeight="1" x14ac:dyDescent="0.25"/>
    <row r="11" spans="1:8" ht="27.6" customHeight="1" x14ac:dyDescent="0.25">
      <c r="A11" s="407" t="s">
        <v>202</v>
      </c>
      <c r="B11" s="407"/>
      <c r="C11" s="407"/>
      <c r="D11" s="407"/>
      <c r="E11" s="407"/>
      <c r="F11" s="407"/>
      <c r="G11" s="407"/>
      <c r="H11" s="10"/>
    </row>
    <row r="12" spans="1:8" ht="9.6" customHeight="1" x14ac:dyDescent="0.25"/>
    <row r="13" spans="1:8" ht="14.45" customHeight="1" x14ac:dyDescent="0.2">
      <c r="B13" s="39"/>
    </row>
    <row r="14" spans="1:8" ht="45" customHeight="1" x14ac:dyDescent="0.2">
      <c r="B14" s="289" t="s">
        <v>203</v>
      </c>
      <c r="C14" s="332"/>
      <c r="D14" s="71" t="s">
        <v>37</v>
      </c>
      <c r="E14" s="71" t="s">
        <v>38</v>
      </c>
    </row>
    <row r="15" spans="1:8" ht="19.149999999999999" customHeight="1" x14ac:dyDescent="0.2">
      <c r="C15" s="248" t="s">
        <v>74</v>
      </c>
      <c r="D15" s="260">
        <f>+'Christina Basin MapShed Output'!H38</f>
        <v>1005.86</v>
      </c>
      <c r="E15" s="260">
        <f>+'Christina Basin MapShed Output'!J38</f>
        <v>415.26</v>
      </c>
      <c r="F15" s="249" t="s">
        <v>50</v>
      </c>
      <c r="G15" s="414" t="s">
        <v>204</v>
      </c>
      <c r="H15" s="415"/>
    </row>
    <row r="16" spans="1:8" ht="7.9" customHeight="1" x14ac:dyDescent="0.2">
      <c r="F16" s="70"/>
      <c r="G16" s="416"/>
      <c r="H16" s="417"/>
    </row>
    <row r="17" spans="1:8" ht="28.15" customHeight="1" x14ac:dyDescent="0.2">
      <c r="B17" s="39" t="s">
        <v>210</v>
      </c>
      <c r="F17" s="70"/>
      <c r="G17" s="418"/>
      <c r="H17" s="419"/>
    </row>
    <row r="18" spans="1:8" ht="30.75" customHeight="1" x14ac:dyDescent="0.2">
      <c r="C18" s="58" t="s">
        <v>0</v>
      </c>
      <c r="D18" s="59" t="s">
        <v>51</v>
      </c>
      <c r="F18" s="70"/>
      <c r="G18" s="250"/>
      <c r="H18" s="250"/>
    </row>
    <row r="19" spans="1:8" ht="18" customHeight="1" x14ac:dyDescent="0.2">
      <c r="B19" s="247"/>
      <c r="C19" s="248" t="s">
        <v>73</v>
      </c>
      <c r="D19" s="260">
        <f>+'Christina Basin MapShed Output'!C22</f>
        <v>84</v>
      </c>
      <c r="G19" s="251"/>
      <c r="H19" s="251"/>
    </row>
    <row r="20" spans="1:8" ht="18" customHeight="1" x14ac:dyDescent="0.2">
      <c r="B20" s="247"/>
      <c r="C20" s="254" t="s">
        <v>10</v>
      </c>
      <c r="D20" s="288">
        <f>+'Christina Basin MapShed Output'!C23</f>
        <v>9449.2999999999993</v>
      </c>
    </row>
    <row r="21" spans="1:8" ht="29.45" customHeight="1" x14ac:dyDescent="0.2">
      <c r="B21" s="413" t="s">
        <v>211</v>
      </c>
      <c r="C21" s="413"/>
      <c r="D21" s="413"/>
      <c r="E21" s="413"/>
      <c r="F21" s="413"/>
      <c r="G21" s="413"/>
    </row>
    <row r="22" spans="1:8" ht="6" customHeight="1" x14ac:dyDescent="0.2">
      <c r="D22" s="42"/>
    </row>
    <row r="23" spans="1:8" ht="15.6" customHeight="1" x14ac:dyDescent="0.2"/>
    <row r="24" spans="1:8" ht="13.15" customHeight="1" x14ac:dyDescent="0.2">
      <c r="A24" s="407" t="s">
        <v>205</v>
      </c>
      <c r="B24" s="407"/>
      <c r="C24" s="407"/>
      <c r="D24" s="407"/>
      <c r="E24" s="407"/>
      <c r="F24" s="407"/>
      <c r="G24" s="407"/>
      <c r="H24" s="407"/>
    </row>
    <row r="25" spans="1:8" ht="6" customHeight="1" x14ac:dyDescent="0.2">
      <c r="C25" s="43"/>
      <c r="D25" s="44"/>
      <c r="E25" s="41"/>
    </row>
    <row r="26" spans="1:8" ht="14.45" customHeight="1" x14ac:dyDescent="0.2">
      <c r="C26" s="73" t="s">
        <v>75</v>
      </c>
      <c r="D26" s="104">
        <f>+D19+D20</f>
        <v>9533.2999999999993</v>
      </c>
      <c r="E26" s="231" t="s">
        <v>206</v>
      </c>
      <c r="F26" s="1" t="str">
        <f>CONCATENATE("[ ",ROUND(D19,2)," acres + ",ROUND(D20,2)," acres"," ]")</f>
        <v>[ 84 acres + 9449.3 acres ]</v>
      </c>
    </row>
    <row r="27" spans="1:8" ht="6" customHeight="1" x14ac:dyDescent="0.2">
      <c r="C27" s="43"/>
      <c r="D27" s="44"/>
      <c r="E27" s="41"/>
    </row>
    <row r="28" spans="1:8" ht="10.9" customHeight="1" x14ac:dyDescent="0.2">
      <c r="C28" s="43"/>
      <c r="D28" s="44"/>
      <c r="E28" s="41"/>
    </row>
    <row r="29" spans="1:8" ht="31.15" customHeight="1" x14ac:dyDescent="0.2">
      <c r="A29" s="407" t="s">
        <v>251</v>
      </c>
      <c r="B29" s="407"/>
      <c r="C29" s="407"/>
      <c r="D29" s="407"/>
      <c r="E29" s="407"/>
      <c r="F29" s="407"/>
      <c r="G29" s="407"/>
      <c r="H29" s="407"/>
    </row>
    <row r="30" spans="1:8" ht="6" customHeight="1" x14ac:dyDescent="0.2">
      <c r="D30" s="42"/>
    </row>
    <row r="31" spans="1:8" ht="27.6" customHeight="1" x14ac:dyDescent="0.2">
      <c r="C31" s="45"/>
      <c r="D31" s="71" t="s">
        <v>37</v>
      </c>
      <c r="E31" s="71" t="s">
        <v>38</v>
      </c>
    </row>
    <row r="32" spans="1:8" ht="19.149999999999999" customHeight="1" x14ac:dyDescent="0.2">
      <c r="C32" s="255" t="s">
        <v>74</v>
      </c>
      <c r="D32" s="260">
        <f>+D15</f>
        <v>1005.86</v>
      </c>
      <c r="E32" s="260">
        <f>+E15</f>
        <v>415.26</v>
      </c>
      <c r="F32" s="256" t="s">
        <v>77</v>
      </c>
      <c r="G32" s="252"/>
      <c r="H32" s="11"/>
    </row>
    <row r="33" spans="1:8" ht="19.149999999999999" customHeight="1" x14ac:dyDescent="0.2">
      <c r="C33" s="257" t="s">
        <v>209</v>
      </c>
      <c r="D33" s="261">
        <f>+D26</f>
        <v>9533.2999999999993</v>
      </c>
      <c r="E33" s="261">
        <f>+D26</f>
        <v>9533.2999999999993</v>
      </c>
      <c r="F33" s="258" t="s">
        <v>78</v>
      </c>
      <c r="G33" s="253"/>
      <c r="H33" s="11"/>
    </row>
    <row r="34" spans="1:8" ht="5.45" customHeight="1" x14ac:dyDescent="0.2">
      <c r="C34" s="257"/>
      <c r="D34" s="262"/>
      <c r="E34" s="261"/>
      <c r="F34" s="259"/>
      <c r="G34" s="246"/>
      <c r="H34" s="11"/>
    </row>
    <row r="35" spans="1:8" ht="19.149999999999999" customHeight="1" x14ac:dyDescent="0.2">
      <c r="C35" s="255" t="s">
        <v>76</v>
      </c>
      <c r="D35" s="290">
        <f>+D32/D33</f>
        <v>0.10551015912643052</v>
      </c>
      <c r="E35" s="290">
        <f>+E32/E33</f>
        <v>4.3558893562564906E-2</v>
      </c>
      <c r="F35" s="291" t="s">
        <v>63</v>
      </c>
      <c r="G35" s="252"/>
      <c r="H35" s="11"/>
    </row>
    <row r="36" spans="1:8" ht="10.15" customHeight="1" x14ac:dyDescent="0.2">
      <c r="C36" s="57"/>
      <c r="D36" s="65"/>
      <c r="E36" s="64"/>
      <c r="F36" s="49"/>
    </row>
    <row r="37" spans="1:8" x14ac:dyDescent="0.2">
      <c r="C37" s="99"/>
    </row>
    <row r="38" spans="1:8" ht="40.15" customHeight="1" x14ac:dyDescent="0.2">
      <c r="A38" s="407" t="s">
        <v>252</v>
      </c>
      <c r="B38" s="407"/>
      <c r="C38" s="407"/>
      <c r="D38" s="407"/>
      <c r="E38" s="407"/>
      <c r="F38" s="407"/>
      <c r="G38" s="407"/>
      <c r="H38" s="407"/>
    </row>
  </sheetData>
  <sheetProtection sheet="1" objects="1" scenarios="1"/>
  <mergeCells count="8">
    <mergeCell ref="A24:H24"/>
    <mergeCell ref="A29:H29"/>
    <mergeCell ref="A38:H38"/>
    <mergeCell ref="A7:F7"/>
    <mergeCell ref="A8:H8"/>
    <mergeCell ref="A11:G11"/>
    <mergeCell ref="B21:G21"/>
    <mergeCell ref="G15:H17"/>
  </mergeCells>
  <pageMargins left="0.75" right="0.35" top="0.5" bottom="0.75" header="0.3" footer="0.3"/>
  <pageSetup scale="98" orientation="portrait" r:id="rId1"/>
  <headerFooter>
    <oddFooter>&amp;L&amp;"Arial,Regular"&amp;9Section 5: Backup for Farm Animals TN and TP Loading&amp;C&amp;"Arial,Regular"&amp;9Page &amp;P of &amp;N&amp;R&amp;"Arial,Regular"&amp;9Christina Basin Loading Rates Tool (May 12, 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view="pageLayout" topLeftCell="A13"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2">
      <c r="A7" s="412" t="s">
        <v>256</v>
      </c>
      <c r="B7" s="412"/>
      <c r="C7" s="412"/>
      <c r="D7" s="412"/>
      <c r="E7" s="412"/>
      <c r="F7" s="412"/>
    </row>
    <row r="8" spans="1:11" ht="94.9" customHeight="1" x14ac:dyDescent="0.2">
      <c r="A8" s="407" t="s">
        <v>336</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212</v>
      </c>
      <c r="B11" s="407"/>
      <c r="C11" s="407"/>
      <c r="D11" s="407"/>
      <c r="E11" s="407"/>
      <c r="F11" s="407"/>
      <c r="G11" s="407"/>
    </row>
    <row r="12" spans="1:11" ht="6" customHeight="1" x14ac:dyDescent="0.25"/>
    <row r="13" spans="1:11" ht="13.15" x14ac:dyDescent="0.25">
      <c r="B13" s="46"/>
      <c r="C13" s="54" t="s">
        <v>4</v>
      </c>
      <c r="D13" s="54"/>
    </row>
    <row r="14" spans="1:11" ht="13.15" customHeight="1" x14ac:dyDescent="0.2">
      <c r="B14" s="56" t="s">
        <v>28</v>
      </c>
      <c r="C14" s="89">
        <f>ROUND('Christina Basin MapShed Output'!F40,2)</f>
        <v>9249.17</v>
      </c>
      <c r="D14" s="56" t="s">
        <v>49</v>
      </c>
      <c r="E14" s="426" t="s">
        <v>213</v>
      </c>
      <c r="F14" s="427"/>
      <c r="G14" s="428"/>
    </row>
    <row r="15" spans="1:11" ht="7.9" customHeight="1" x14ac:dyDescent="0.2">
      <c r="E15" s="429"/>
      <c r="F15" s="430"/>
      <c r="G15" s="431"/>
    </row>
    <row r="16" spans="1:11" x14ac:dyDescent="0.2">
      <c r="B16" s="58" t="s">
        <v>0</v>
      </c>
      <c r="C16" s="59" t="s">
        <v>51</v>
      </c>
      <c r="E16" s="432"/>
      <c r="F16" s="433"/>
      <c r="G16" s="434"/>
      <c r="K16" s="76"/>
    </row>
    <row r="17" spans="1:3" ht="13.15" customHeight="1" x14ac:dyDescent="0.2">
      <c r="A17" s="435" t="s">
        <v>39</v>
      </c>
      <c r="B17" s="377" t="s">
        <v>73</v>
      </c>
      <c r="C17" s="378">
        <f>+'Christina Basin MapShed Output'!C22</f>
        <v>84</v>
      </c>
    </row>
    <row r="18" spans="1:3" ht="13.15" customHeight="1" x14ac:dyDescent="0.2">
      <c r="A18" s="436"/>
      <c r="B18" s="379" t="s">
        <v>10</v>
      </c>
      <c r="C18" s="380">
        <f>+'Christina Basin MapShed Output'!C23</f>
        <v>9449.2999999999993</v>
      </c>
    </row>
    <row r="19" spans="1:3" ht="13.15" customHeight="1" x14ac:dyDescent="0.2">
      <c r="A19" s="436"/>
      <c r="B19" s="381" t="s">
        <v>11</v>
      </c>
      <c r="C19" s="382">
        <f>+'Christina Basin MapShed Output'!C24</f>
        <v>7665.2</v>
      </c>
    </row>
    <row r="20" spans="1:3" ht="13.15" customHeight="1" x14ac:dyDescent="0.2">
      <c r="A20" s="436"/>
      <c r="B20" s="379" t="s">
        <v>12</v>
      </c>
      <c r="C20" s="380">
        <f>+'Christina Basin MapShed Output'!C25</f>
        <v>61.8</v>
      </c>
    </row>
    <row r="21" spans="1:3" ht="13.15" customHeight="1" x14ac:dyDescent="0.2">
      <c r="A21" s="436"/>
      <c r="B21" s="381" t="s">
        <v>13</v>
      </c>
      <c r="C21" s="382">
        <f>+'Christina Basin MapShed Output'!C26</f>
        <v>872.3</v>
      </c>
    </row>
    <row r="22" spans="1:3" ht="13.15" customHeight="1" x14ac:dyDescent="0.2">
      <c r="A22" s="436"/>
      <c r="B22" s="379" t="s">
        <v>14</v>
      </c>
      <c r="C22" s="380">
        <f>+'Christina Basin MapShed Output'!C27</f>
        <v>1193.5</v>
      </c>
    </row>
    <row r="23" spans="1:3" ht="13.15" customHeight="1" x14ac:dyDescent="0.2">
      <c r="A23" s="436"/>
      <c r="B23" s="381" t="s">
        <v>15</v>
      </c>
      <c r="C23" s="382">
        <f>+'Christina Basin MapShed Output'!C28</f>
        <v>108.7</v>
      </c>
    </row>
    <row r="24" spans="1:3" ht="13.15" customHeight="1" x14ac:dyDescent="0.2">
      <c r="A24" s="436"/>
      <c r="B24" s="379" t="s">
        <v>16</v>
      </c>
      <c r="C24" s="380">
        <f>+'Christina Basin MapShed Output'!C29</f>
        <v>0</v>
      </c>
    </row>
    <row r="25" spans="1:3" ht="13.15" customHeight="1" x14ac:dyDescent="0.2">
      <c r="A25" s="436"/>
      <c r="B25" s="381" t="s">
        <v>17</v>
      </c>
      <c r="C25" s="382">
        <f>+'Christina Basin MapShed Output'!C30</f>
        <v>0</v>
      </c>
    </row>
    <row r="26" spans="1:3" ht="13.15" customHeight="1" x14ac:dyDescent="0.2">
      <c r="A26" s="436"/>
      <c r="B26" s="379" t="s">
        <v>18</v>
      </c>
      <c r="C26" s="380">
        <f>+'Christina Basin MapShed Output'!C31</f>
        <v>0</v>
      </c>
    </row>
    <row r="27" spans="1:3" ht="13.15" customHeight="1" x14ac:dyDescent="0.2">
      <c r="A27" s="436"/>
      <c r="B27" s="381" t="s">
        <v>19</v>
      </c>
      <c r="C27" s="382">
        <f>+'Christina Basin MapShed Output'!C32</f>
        <v>467</v>
      </c>
    </row>
    <row r="28" spans="1:3" ht="13.15" customHeight="1" x14ac:dyDescent="0.2">
      <c r="A28" s="436"/>
      <c r="B28" s="379" t="s">
        <v>20</v>
      </c>
      <c r="C28" s="380">
        <f>+'Christina Basin MapShed Output'!C33</f>
        <v>647.4</v>
      </c>
    </row>
    <row r="29" spans="1:3" ht="13.15" customHeight="1" x14ac:dyDescent="0.2">
      <c r="A29" s="436"/>
      <c r="B29" s="381" t="s">
        <v>21</v>
      </c>
      <c r="C29" s="382">
        <f>+'Christina Basin MapShed Output'!C34</f>
        <v>1648.2</v>
      </c>
    </row>
    <row r="30" spans="1:3" ht="13.15" customHeight="1" x14ac:dyDescent="0.2">
      <c r="A30" s="436"/>
      <c r="B30" s="379" t="s">
        <v>22</v>
      </c>
      <c r="C30" s="380">
        <f>+'Christina Basin MapShed Output'!C35</f>
        <v>11848.7</v>
      </c>
    </row>
    <row r="31" spans="1:3" ht="13.15" customHeight="1" x14ac:dyDescent="0.2">
      <c r="A31" s="436"/>
      <c r="B31" s="381" t="s">
        <v>23</v>
      </c>
      <c r="C31" s="382">
        <f>+'Christina Basin MapShed Output'!C36</f>
        <v>291.60000000000002</v>
      </c>
    </row>
    <row r="32" spans="1:3" ht="13.15" customHeight="1" x14ac:dyDescent="0.2">
      <c r="A32" s="437"/>
      <c r="B32" s="383" t="s">
        <v>24</v>
      </c>
      <c r="C32" s="384">
        <f>+'Christina Basin MapShed Output'!C37</f>
        <v>86.5</v>
      </c>
    </row>
    <row r="33" spans="1:7" ht="6" customHeight="1" x14ac:dyDescent="0.2">
      <c r="C33" s="263"/>
    </row>
    <row r="34" spans="1:7" ht="15.6" customHeight="1" x14ac:dyDescent="0.2">
      <c r="B34" s="39" t="s">
        <v>254</v>
      </c>
      <c r="C34" s="264">
        <f>SUM(C17:C33)</f>
        <v>34424.200000000004</v>
      </c>
    </row>
    <row r="35" spans="1:7" ht="16.899999999999999" customHeight="1" x14ac:dyDescent="0.2"/>
    <row r="36" spans="1:7" x14ac:dyDescent="0.2">
      <c r="A36" s="407" t="s">
        <v>98</v>
      </c>
      <c r="B36" s="407"/>
      <c r="C36" s="407"/>
      <c r="D36" s="407"/>
      <c r="E36" s="407"/>
      <c r="F36" s="407"/>
      <c r="G36" s="407"/>
    </row>
    <row r="37" spans="1:7" ht="6" customHeight="1" x14ac:dyDescent="0.2">
      <c r="B37" s="43"/>
      <c r="C37" s="44"/>
      <c r="D37" s="41"/>
    </row>
    <row r="38" spans="1:7" x14ac:dyDescent="0.2">
      <c r="B38" s="46"/>
      <c r="C38" s="54" t="s">
        <v>64</v>
      </c>
      <c r="D38" s="54"/>
    </row>
    <row r="39" spans="1:7" x14ac:dyDescent="0.2">
      <c r="B39" s="56" t="s">
        <v>28</v>
      </c>
      <c r="C39" s="56">
        <f>+C14*2000</f>
        <v>18498340</v>
      </c>
      <c r="D39" s="56" t="s">
        <v>50</v>
      </c>
      <c r="E39" s="1" t="str">
        <f>CONCATENATE("= [ ",ROUND(C14,2)," tons x 2,000 pounds per ton]")</f>
        <v>= [ 9249.17 tons x 2,000 pounds per ton]</v>
      </c>
    </row>
    <row r="40" spans="1:7" ht="6" customHeight="1" x14ac:dyDescent="0.2">
      <c r="B40" s="43"/>
      <c r="D40" s="41"/>
    </row>
    <row r="41" spans="1:7" ht="16.899999999999999" customHeight="1" x14ac:dyDescent="0.2">
      <c r="B41" s="43"/>
      <c r="C41" s="44"/>
      <c r="D41" s="41"/>
    </row>
    <row r="42" spans="1:7" x14ac:dyDescent="0.2">
      <c r="A42" s="407" t="str">
        <f>CONCATENATE("Step 3. Sum the total acres in the ", 'Christina Basin MapShed Output'!C15," watershed.")</f>
        <v>Step 3. Sum the total acres in the Red Clay watershed.</v>
      </c>
      <c r="B42" s="407"/>
      <c r="C42" s="407"/>
      <c r="D42" s="407"/>
      <c r="E42" s="407"/>
      <c r="F42" s="407"/>
      <c r="G42" s="407"/>
    </row>
    <row r="43" spans="1:7" ht="6" customHeight="1" x14ac:dyDescent="0.2">
      <c r="A43" s="61"/>
      <c r="B43" s="61"/>
      <c r="C43" s="61"/>
      <c r="D43" s="61"/>
      <c r="E43" s="61"/>
      <c r="F43" s="61"/>
      <c r="G43" s="61"/>
    </row>
    <row r="44" spans="1:7" x14ac:dyDescent="0.2">
      <c r="B44" s="60" t="s">
        <v>214</v>
      </c>
      <c r="C44" s="104">
        <f>SUM(C17:C33)</f>
        <v>34424.200000000004</v>
      </c>
      <c r="D44" s="57" t="s">
        <v>32</v>
      </c>
    </row>
    <row r="45" spans="1:7" ht="6" customHeight="1" x14ac:dyDescent="0.2">
      <c r="B45" s="43"/>
      <c r="C45" s="44"/>
      <c r="D45" s="41"/>
    </row>
    <row r="46" spans="1:7" ht="4.1500000000000004" customHeight="1" x14ac:dyDescent="0.2">
      <c r="B46" s="43"/>
      <c r="C46" s="44"/>
      <c r="D46" s="41"/>
    </row>
    <row r="47" spans="1:7" ht="14.45" customHeight="1" x14ac:dyDescent="0.2">
      <c r="A47" s="1" t="s">
        <v>215</v>
      </c>
      <c r="B47" s="43"/>
      <c r="C47" s="44"/>
      <c r="D47" s="41"/>
    </row>
    <row r="48" spans="1:7" ht="6" customHeight="1" x14ac:dyDescent="0.2">
      <c r="B48" s="43"/>
      <c r="C48" s="44"/>
      <c r="D48" s="41"/>
    </row>
    <row r="49" spans="1:7" ht="13.9" customHeight="1" x14ac:dyDescent="0.2">
      <c r="A49" s="1" t="str">
        <f>CONCATENATE("Watershed: ",'Christina Basin MapShed Output'!$B$3)</f>
        <v>Watershed: Red Clay</v>
      </c>
      <c r="B49" s="43"/>
      <c r="C49" s="44"/>
      <c r="D49" s="41"/>
    </row>
    <row r="50" spans="1:7" ht="6" customHeight="1" x14ac:dyDescent="0.2">
      <c r="B50" s="43"/>
      <c r="C50" s="44"/>
      <c r="D50" s="41"/>
    </row>
    <row r="51" spans="1:7" ht="13.9" customHeight="1" x14ac:dyDescent="0.2">
      <c r="A51" s="1" t="str">
        <f>CONCATENATE("Year: ",'Christina Basin MapShed Output'!$C$16)</f>
        <v>Year: 2012</v>
      </c>
      <c r="B51" s="43"/>
      <c r="C51" s="44"/>
      <c r="D51" s="41"/>
    </row>
    <row r="52" spans="1:7" ht="10.9" customHeight="1" x14ac:dyDescent="0.2">
      <c r="B52" s="43"/>
      <c r="C52" s="44"/>
      <c r="D52" s="41"/>
    </row>
    <row r="53" spans="1:7" ht="51" customHeight="1" x14ac:dyDescent="0.2">
      <c r="A53" s="407" t="s">
        <v>324</v>
      </c>
      <c r="B53" s="407"/>
      <c r="C53" s="407"/>
      <c r="D53" s="407"/>
      <c r="E53" s="407"/>
      <c r="F53" s="407"/>
      <c r="G53" s="407"/>
    </row>
    <row r="54" spans="1:7" ht="6" customHeight="1" x14ac:dyDescent="0.2">
      <c r="C54" s="42"/>
    </row>
    <row r="55" spans="1:7" x14ac:dyDescent="0.2">
      <c r="B55" s="45" t="s">
        <v>70</v>
      </c>
      <c r="C55" s="67" t="s">
        <v>32</v>
      </c>
      <c r="D55" s="67" t="s">
        <v>71</v>
      </c>
    </row>
    <row r="56" spans="1:7" x14ac:dyDescent="0.2">
      <c r="B56" s="232" t="s">
        <v>52</v>
      </c>
      <c r="C56" s="276">
        <f>+C27+C30</f>
        <v>12315.7</v>
      </c>
      <c r="D56" s="272">
        <f>+C56/C$59</f>
        <v>0.82162728328018464</v>
      </c>
      <c r="E56" s="72" t="s">
        <v>88</v>
      </c>
      <c r="F56" s="56"/>
      <c r="G56" s="38"/>
    </row>
    <row r="57" spans="1:7" x14ac:dyDescent="0.2">
      <c r="B57" s="265" t="s">
        <v>53</v>
      </c>
      <c r="C57" s="277">
        <f>+C28+C31</f>
        <v>939</v>
      </c>
      <c r="D57" s="273">
        <f>+C57/C$59</f>
        <v>6.2644268616488974E-2</v>
      </c>
      <c r="E57" s="74" t="s">
        <v>89</v>
      </c>
      <c r="F57" s="55"/>
      <c r="G57" s="37"/>
    </row>
    <row r="58" spans="1:7" ht="13.5" thickBot="1" x14ac:dyDescent="0.25">
      <c r="B58" s="266" t="s">
        <v>54</v>
      </c>
      <c r="C58" s="280">
        <f>+C29+C32</f>
        <v>1734.7</v>
      </c>
      <c r="D58" s="293">
        <f>+C58/C$59</f>
        <v>0.11572844810332635</v>
      </c>
      <c r="E58" s="72" t="s">
        <v>90</v>
      </c>
      <c r="F58" s="56"/>
      <c r="G58" s="38"/>
    </row>
    <row r="59" spans="1:7" x14ac:dyDescent="0.2">
      <c r="B59" s="57" t="s">
        <v>55</v>
      </c>
      <c r="C59" s="292">
        <f>+C56+C57+C58</f>
        <v>14989.400000000001</v>
      </c>
      <c r="D59" s="294">
        <f>+C59/C$59</f>
        <v>1</v>
      </c>
      <c r="E59" s="49" t="s">
        <v>91</v>
      </c>
    </row>
    <row r="60" spans="1:7" ht="6.6" customHeight="1" x14ac:dyDescent="0.2"/>
    <row r="62" spans="1:7" x14ac:dyDescent="0.2">
      <c r="A62" s="1" t="s">
        <v>216</v>
      </c>
    </row>
    <row r="63" spans="1:7" x14ac:dyDescent="0.2">
      <c r="B63" s="1" t="s">
        <v>236</v>
      </c>
    </row>
    <row r="64" spans="1:7" x14ac:dyDescent="0.2">
      <c r="B64" s="1" t="s">
        <v>237</v>
      </c>
    </row>
    <row r="65" spans="1:7" ht="7.9" customHeight="1" x14ac:dyDescent="0.2"/>
    <row r="66" spans="1:7" x14ac:dyDescent="0.2">
      <c r="B66" s="1" t="s">
        <v>58</v>
      </c>
      <c r="C66" s="106">
        <f>C39</f>
        <v>18498340</v>
      </c>
      <c r="D66" s="1" t="s">
        <v>50</v>
      </c>
      <c r="E66" s="49" t="s">
        <v>66</v>
      </c>
    </row>
    <row r="67" spans="1:7" x14ac:dyDescent="0.2">
      <c r="B67" s="1" t="s">
        <v>59</v>
      </c>
      <c r="C67" s="105">
        <f>+C59</f>
        <v>14989.400000000001</v>
      </c>
      <c r="D67" s="1" t="s">
        <v>32</v>
      </c>
      <c r="E67" s="49" t="s">
        <v>65</v>
      </c>
    </row>
    <row r="68" spans="1:7" ht="13.15" customHeight="1" x14ac:dyDescent="0.2">
      <c r="B68" s="1" t="s">
        <v>214</v>
      </c>
      <c r="C68" s="105">
        <f>+C44</f>
        <v>34424.200000000004</v>
      </c>
      <c r="D68" s="1" t="s">
        <v>32</v>
      </c>
      <c r="E68" s="49" t="s">
        <v>67</v>
      </c>
    </row>
    <row r="69" spans="1:7" ht="25.15" customHeight="1" x14ac:dyDescent="0.2">
      <c r="B69" s="267" t="s">
        <v>105</v>
      </c>
      <c r="C69" s="48">
        <f>+C67/C68</f>
        <v>0.43543205070851321</v>
      </c>
      <c r="D69" s="49" t="s">
        <v>219</v>
      </c>
      <c r="E69" s="1" t="str">
        <f>CONCATENATE("[ ",ROUND(C67,2)," acres / ",ROUND(C68,2)," acres ]")</f>
        <v>[ 14989.4 acres / 34424.2 acres ]</v>
      </c>
    </row>
    <row r="70" spans="1:7" ht="7.15" customHeight="1" x14ac:dyDescent="0.2"/>
    <row r="71" spans="1:7" ht="42" customHeight="1" x14ac:dyDescent="0.2">
      <c r="A71" s="62"/>
      <c r="B71" s="10" t="s">
        <v>217</v>
      </c>
      <c r="C71" s="108">
        <f>+C66*C69*0.4</f>
        <v>3221908.0483613275</v>
      </c>
      <c r="D71" s="1" t="s">
        <v>220</v>
      </c>
      <c r="E71" s="1" t="str">
        <f>CONCATENATE("[ 40% x ",ROUND(C66,2)," pounds x ",ROUND(C69*100,0),"% ]")</f>
        <v>[ 40% x 18498340 pounds x 44% ]</v>
      </c>
    </row>
    <row r="72" spans="1:7" ht="26.25" thickBot="1" x14ac:dyDescent="0.25">
      <c r="A72" s="62"/>
      <c r="B72" s="268" t="s">
        <v>218</v>
      </c>
      <c r="C72" s="269">
        <f>+C66*0.6</f>
        <v>11099004</v>
      </c>
      <c r="D72" s="270" t="s">
        <v>220</v>
      </c>
      <c r="E72" s="1" t="str">
        <f>CONCATENATE("[ 60% x ",ROUND(C66,2)," pounds ]")</f>
        <v>[ 60% x 18498340 pounds ]</v>
      </c>
    </row>
    <row r="73" spans="1:7" ht="28.9" customHeight="1" x14ac:dyDescent="0.2">
      <c r="B73" s="271" t="s">
        <v>101</v>
      </c>
      <c r="C73" s="109">
        <f>+C72+C71</f>
        <v>14320912.048361327</v>
      </c>
      <c r="D73" s="63" t="s">
        <v>50</v>
      </c>
    </row>
    <row r="74" spans="1:7" ht="6.6" customHeight="1" x14ac:dyDescent="0.2"/>
    <row r="75" spans="1:7" ht="8.4499999999999993" customHeight="1" x14ac:dyDescent="0.2"/>
    <row r="76" spans="1:7" ht="42" customHeight="1" x14ac:dyDescent="0.2">
      <c r="A76" s="407" t="s">
        <v>222</v>
      </c>
      <c r="B76" s="407"/>
      <c r="C76" s="407"/>
      <c r="D76" s="407"/>
      <c r="E76" s="407"/>
      <c r="F76" s="407"/>
      <c r="G76" s="407"/>
    </row>
    <row r="77" spans="1:7" ht="6" customHeight="1" x14ac:dyDescent="0.2"/>
    <row r="78" spans="1:7" x14ac:dyDescent="0.2">
      <c r="B78" s="39" t="s">
        <v>221</v>
      </c>
    </row>
    <row r="79" spans="1:7" ht="12.75" customHeight="1" x14ac:dyDescent="0.2">
      <c r="B79" s="232" t="s">
        <v>52</v>
      </c>
      <c r="C79" s="274">
        <v>0.15</v>
      </c>
    </row>
    <row r="80" spans="1:7" x14ac:dyDescent="0.2">
      <c r="B80" s="265" t="s">
        <v>53</v>
      </c>
      <c r="C80" s="275">
        <v>0.52</v>
      </c>
    </row>
    <row r="81" spans="1:7" x14ac:dyDescent="0.2">
      <c r="B81" s="232" t="s">
        <v>54</v>
      </c>
      <c r="C81" s="274">
        <v>0.87</v>
      </c>
    </row>
    <row r="82" spans="1:7" ht="6" customHeight="1" x14ac:dyDescent="0.2"/>
    <row r="83" spans="1:7" ht="11.45" customHeight="1" x14ac:dyDescent="0.2"/>
    <row r="84" spans="1:7" ht="24.6" customHeight="1" x14ac:dyDescent="0.2">
      <c r="A84" s="407" t="s">
        <v>225</v>
      </c>
      <c r="B84" s="407"/>
      <c r="C84" s="407"/>
      <c r="D84" s="407"/>
      <c r="E84" s="407"/>
      <c r="F84" s="407"/>
      <c r="G84" s="407"/>
    </row>
    <row r="85" spans="1:7" ht="6" customHeight="1" x14ac:dyDescent="0.2"/>
    <row r="86" spans="1:7" x14ac:dyDescent="0.2">
      <c r="B86" s="39" t="s">
        <v>56</v>
      </c>
    </row>
    <row r="87" spans="1:7" x14ac:dyDescent="0.2">
      <c r="B87" s="103" t="s">
        <v>52</v>
      </c>
      <c r="C87" s="276">
        <f>+C56*C79</f>
        <v>1847.355</v>
      </c>
      <c r="D87" s="56" t="s">
        <v>223</v>
      </c>
      <c r="E87" s="295" t="str">
        <f>CONCATENATE(" [ ",ROUND(C56,2)," acres x ",C79*100," percent ]")</f>
        <v xml:space="preserve"> [ 12315.7 acres x 15 percent ]</v>
      </c>
      <c r="F87" s="56"/>
      <c r="G87" s="38"/>
    </row>
    <row r="88" spans="1:7" x14ac:dyDescent="0.2">
      <c r="B88" s="75" t="s">
        <v>53</v>
      </c>
      <c r="C88" s="277">
        <f>+C57*C80</f>
        <v>488.28000000000003</v>
      </c>
      <c r="D88" s="55" t="s">
        <v>223</v>
      </c>
      <c r="E88" s="296" t="str">
        <f>CONCATENATE(" [ ",ROUND(C57,2)," acres x ",C80*100," percent ]")</f>
        <v xml:space="preserve"> [ 939 acres x 52 percent ]</v>
      </c>
      <c r="F88" s="55"/>
      <c r="G88" s="37"/>
    </row>
    <row r="89" spans="1:7" ht="13.5" thickBot="1" x14ac:dyDescent="0.25">
      <c r="B89" s="279" t="s">
        <v>54</v>
      </c>
      <c r="C89" s="280">
        <f>+C58*C81</f>
        <v>1509.1890000000001</v>
      </c>
      <c r="D89" s="297" t="s">
        <v>223</v>
      </c>
      <c r="E89" s="295" t="str">
        <f>CONCATENATE(" [ ",ROUND(C58,2)," acres x ",C81*100," percent ]")</f>
        <v xml:space="preserve"> [ 1734.7 acres x 87 percent ]</v>
      </c>
      <c r="F89" s="56"/>
      <c r="G89" s="38"/>
    </row>
    <row r="90" spans="1:7" ht="28.9" customHeight="1" x14ac:dyDescent="0.2">
      <c r="B90" s="13" t="s">
        <v>224</v>
      </c>
      <c r="C90" s="278">
        <f>+C87+C88+C89</f>
        <v>3844.8240000000005</v>
      </c>
      <c r="D90" s="1" t="s">
        <v>32</v>
      </c>
    </row>
    <row r="91" spans="1:7" ht="6" customHeight="1" x14ac:dyDescent="0.2"/>
    <row r="93" spans="1:7" x14ac:dyDescent="0.2">
      <c r="A93" s="1" t="s">
        <v>301</v>
      </c>
    </row>
    <row r="94" spans="1:7" ht="6" customHeight="1" x14ac:dyDescent="0.2"/>
    <row r="95" spans="1:7" x14ac:dyDescent="0.2">
      <c r="A95" s="1" t="str">
        <f>CONCATENATE("Watershed: ",'Christina Basin MapShed Output'!$B$3)</f>
        <v>Watershed: Red Clay</v>
      </c>
    </row>
    <row r="96" spans="1:7" ht="6" customHeight="1" x14ac:dyDescent="0.2"/>
    <row r="97" spans="1:7" x14ac:dyDescent="0.2">
      <c r="A97" s="1" t="str">
        <f>CONCATENATE("Year: ",'Christina Basin MapShed Output'!$C$16)</f>
        <v>Year: 2012</v>
      </c>
    </row>
    <row r="99" spans="1:7" x14ac:dyDescent="0.2">
      <c r="A99" s="1" t="s">
        <v>226</v>
      </c>
    </row>
    <row r="100" spans="1:7" ht="6" customHeight="1" x14ac:dyDescent="0.2"/>
    <row r="101" spans="1:7" x14ac:dyDescent="0.2">
      <c r="B101" s="39" t="s">
        <v>57</v>
      </c>
    </row>
    <row r="102" spans="1:7" x14ac:dyDescent="0.2">
      <c r="B102" s="232" t="s">
        <v>52</v>
      </c>
      <c r="C102" s="274">
        <f>+C87/(C$87+C$88+C$89)</f>
        <v>0.48047843022203351</v>
      </c>
      <c r="D102" s="281" t="s">
        <v>227</v>
      </c>
      <c r="E102" s="295" t="str">
        <f>CONCATENATE(" [ ",ROUND(C87,2)," acres / ",ROUND(C90,2)," acres ]")</f>
        <v xml:space="preserve"> [ 1847.36 acres / 3844.82 acres ]</v>
      </c>
      <c r="F102" s="56"/>
      <c r="G102" s="38"/>
    </row>
    <row r="103" spans="1:7" x14ac:dyDescent="0.2">
      <c r="B103" s="265" t="s">
        <v>53</v>
      </c>
      <c r="C103" s="275">
        <f>+C88/(C$87+C$88+C$89)</f>
        <v>0.12699671038258187</v>
      </c>
      <c r="D103" s="282" t="s">
        <v>227</v>
      </c>
      <c r="E103" s="296" t="str">
        <f>CONCATENATE(" [ ",ROUND(C88,2)," acres / ",ROUND(C90,2)," acres ]")</f>
        <v xml:space="preserve"> [ 488.28 acres / 3844.82 acres ]</v>
      </c>
      <c r="F103" s="55"/>
      <c r="G103" s="37"/>
    </row>
    <row r="104" spans="1:7" ht="13.5" thickBot="1" x14ac:dyDescent="0.25">
      <c r="B104" s="266" t="s">
        <v>54</v>
      </c>
      <c r="C104" s="298">
        <f>+C89/(C$87+C$88+C$89)</f>
        <v>0.39252485939538451</v>
      </c>
      <c r="D104" s="281" t="s">
        <v>227</v>
      </c>
      <c r="E104" s="295" t="str">
        <f>CONCATENATE(" [ ",ROUND(C89,2)," acres / ",ROUND(C90,2)," acres ]")</f>
        <v xml:space="preserve"> [ 1509.19 acres / 3844.82 acres ]</v>
      </c>
      <c r="F104" s="56"/>
      <c r="G104" s="38"/>
    </row>
    <row r="105" spans="1:7" x14ac:dyDescent="0.2">
      <c r="B105" s="1" t="s">
        <v>55</v>
      </c>
      <c r="C105" s="299">
        <f>+C102+C103+C104</f>
        <v>0.99999999999999989</v>
      </c>
    </row>
    <row r="106" spans="1:7" ht="7.15" customHeight="1" x14ac:dyDescent="0.2"/>
    <row r="107" spans="1:7" ht="13.15" customHeight="1" x14ac:dyDescent="0.2"/>
    <row r="108" spans="1:7" ht="24" customHeight="1" x14ac:dyDescent="0.2">
      <c r="A108" s="407" t="s">
        <v>325</v>
      </c>
      <c r="B108" s="407"/>
      <c r="C108" s="407"/>
      <c r="D108" s="407"/>
      <c r="E108" s="407"/>
      <c r="F108" s="407"/>
      <c r="G108" s="407"/>
    </row>
    <row r="109" spans="1:7" ht="6" customHeight="1" x14ac:dyDescent="0.2"/>
    <row r="110" spans="1:7" ht="25.5" customHeight="1" x14ac:dyDescent="0.2">
      <c r="B110" s="347" t="s">
        <v>101</v>
      </c>
      <c r="C110" s="107">
        <f>+C73</f>
        <v>14320912.048361327</v>
      </c>
      <c r="D110" s="1" t="s">
        <v>228</v>
      </c>
      <c r="E110" s="49" t="s">
        <v>92</v>
      </c>
    </row>
    <row r="111" spans="1:7" ht="25.5" customHeight="1" x14ac:dyDescent="0.2">
      <c r="B111" s="333" t="s">
        <v>68</v>
      </c>
      <c r="C111" s="108">
        <f>+C110*0.6</f>
        <v>8592547.2290167958</v>
      </c>
      <c r="D111" s="1" t="s">
        <v>228</v>
      </c>
      <c r="E111" s="1" t="str">
        <f xml:space="preserve"> CONCATENATE(" [ ",ROUND(C$110,2)," pounds x 60% ]")</f>
        <v xml:space="preserve"> [ 14320912.05 pounds x 60% ]</v>
      </c>
    </row>
    <row r="112" spans="1:7" ht="25.5" customHeight="1" x14ac:dyDescent="0.2">
      <c r="B112" s="333" t="s">
        <v>69</v>
      </c>
      <c r="C112" s="108">
        <f>+C110*0.4</f>
        <v>5728364.8193445317</v>
      </c>
      <c r="D112" s="1" t="s">
        <v>228</v>
      </c>
      <c r="E112" s="1" t="str">
        <f xml:space="preserve"> CONCATENATE(" [ ",ROUND(C$110,2)," pounds x 40% ]")</f>
        <v xml:space="preserve"> [ 14320912.05 pounds x 40% ]</v>
      </c>
    </row>
    <row r="113" spans="1:7" ht="6" customHeight="1" x14ac:dyDescent="0.2"/>
    <row r="114" spans="1:7" ht="13.15" customHeight="1" x14ac:dyDescent="0.2"/>
    <row r="115" spans="1:7" ht="13.9" customHeight="1" x14ac:dyDescent="0.2">
      <c r="A115" s="407" t="s">
        <v>258</v>
      </c>
      <c r="B115" s="407"/>
      <c r="C115" s="407"/>
      <c r="D115" s="407"/>
      <c r="E115" s="407"/>
      <c r="F115" s="407"/>
      <c r="G115" s="407"/>
    </row>
    <row r="116" spans="1:7" ht="15" customHeight="1" x14ac:dyDescent="0.2">
      <c r="A116" s="407" t="str">
        <f>CONCATENATE("multiplying the 'Percent of Total Impervious Surfaces' (Step 8) by ",ROUND(C111,2)," pounds (calculated in Step 9):")</f>
        <v>multiplying the 'Percent of Total Impervious Surfaces' (Step 8) by 8592547.23 pounds (calculated in Step 9):</v>
      </c>
      <c r="B116" s="407"/>
      <c r="C116" s="407"/>
      <c r="D116" s="407"/>
      <c r="E116" s="407"/>
      <c r="F116" s="407"/>
      <c r="G116" s="407"/>
    </row>
    <row r="117" spans="1:7" ht="6" customHeight="1" x14ac:dyDescent="0.2">
      <c r="A117" s="61"/>
      <c r="B117" s="61"/>
      <c r="C117" s="61"/>
      <c r="D117" s="61"/>
      <c r="E117" s="61"/>
      <c r="F117" s="61"/>
      <c r="G117" s="61"/>
    </row>
    <row r="118" spans="1:7" ht="16.149999999999999" customHeight="1" x14ac:dyDescent="0.2">
      <c r="B118" s="39" t="s">
        <v>229</v>
      </c>
      <c r="C118" s="13"/>
      <c r="D118" s="13"/>
      <c r="E118" s="13"/>
      <c r="F118" s="10"/>
    </row>
    <row r="119" spans="1:7" x14ac:dyDescent="0.2">
      <c r="B119" s="232" t="s">
        <v>52</v>
      </c>
      <c r="C119" s="89">
        <f>C102*C$111</f>
        <v>4128533.6042066738</v>
      </c>
      <c r="D119" s="420" t="str">
        <f>CONCATENATE("=   [ ",ROUND(C102*100,0)," % x ",ROUND(C$111,2)," pounds ]")</f>
        <v>=   [ 48 % x 8592547.23 pounds ]</v>
      </c>
      <c r="E119" s="421"/>
      <c r="F119" s="421"/>
      <c r="G119" s="421"/>
    </row>
    <row r="120" spans="1:7" x14ac:dyDescent="0.2">
      <c r="B120" s="265" t="s">
        <v>53</v>
      </c>
      <c r="C120" s="90">
        <f>C103*C$111</f>
        <v>1091225.2318921024</v>
      </c>
      <c r="D120" s="422" t="str">
        <f>CONCATENATE("=   [ ",ROUND(C103*100,0)," % x ",ROUND(C$111,2)," pounds ]")</f>
        <v>=   [ 13 % x 8592547.23 pounds ]</v>
      </c>
      <c r="E120" s="423"/>
      <c r="F120" s="423"/>
      <c r="G120" s="423"/>
    </row>
    <row r="121" spans="1:7" x14ac:dyDescent="0.2">
      <c r="B121" s="232" t="s">
        <v>54</v>
      </c>
      <c r="C121" s="89">
        <f>C104*C$111</f>
        <v>3372788.3929180186</v>
      </c>
      <c r="D121" s="420" t="str">
        <f>CONCATENATE("=   [ ",ROUND(C104*100,0)," % x ",ROUND(C$111,2)," pounds ]")</f>
        <v>=   [ 39 % x 8592547.23 pounds ]</v>
      </c>
      <c r="E121" s="421"/>
      <c r="F121" s="421"/>
      <c r="G121" s="421"/>
    </row>
    <row r="122" spans="1:7" ht="6" customHeight="1" x14ac:dyDescent="0.2">
      <c r="C122" s="51"/>
    </row>
    <row r="124" spans="1:7" x14ac:dyDescent="0.2">
      <c r="A124" s="407" t="s">
        <v>231</v>
      </c>
      <c r="B124" s="407"/>
      <c r="C124" s="407"/>
      <c r="D124" s="407"/>
      <c r="E124" s="407"/>
      <c r="F124" s="407"/>
      <c r="G124" s="407"/>
    </row>
    <row r="125" spans="1:7" x14ac:dyDescent="0.2">
      <c r="A125" s="407" t="str">
        <f>CONCATENATE("the 'Percent of Area of Developed Lands' (from Step 4) by ",ROUND(C112,2)," pounds (calculated in Step 9):")</f>
        <v>the 'Percent of Area of Developed Lands' (from Step 4) by 5728364.82 pounds (calculated in Step 9):</v>
      </c>
      <c r="B125" s="407"/>
      <c r="C125" s="407"/>
      <c r="D125" s="407"/>
      <c r="E125" s="407"/>
      <c r="F125" s="407"/>
      <c r="G125" s="407"/>
    </row>
    <row r="126" spans="1:7" ht="6" customHeight="1" x14ac:dyDescent="0.2"/>
    <row r="127" spans="1:7" ht="16.899999999999999" customHeight="1" x14ac:dyDescent="0.2">
      <c r="B127" s="39" t="s">
        <v>230</v>
      </c>
      <c r="C127" s="13"/>
      <c r="D127" s="13"/>
      <c r="E127" s="13"/>
    </row>
    <row r="128" spans="1:7" x14ac:dyDescent="0.2">
      <c r="B128" s="232" t="s">
        <v>52</v>
      </c>
      <c r="C128" s="89">
        <f>C56/C$59*C$112</f>
        <v>4706580.8241558336</v>
      </c>
      <c r="D128" s="420" t="str">
        <f>CONCATENATE("=   [ ",ROUND(D56*100,0)," % x ",ROUND(C$112,2)," pounds ]")</f>
        <v>=   [ 82 % x 5728364.82 pounds ]</v>
      </c>
      <c r="E128" s="421"/>
      <c r="F128" s="421"/>
      <c r="G128" s="421"/>
    </row>
    <row r="129" spans="1:13" x14ac:dyDescent="0.2">
      <c r="B129" s="265" t="s">
        <v>53</v>
      </c>
      <c r="C129" s="90">
        <f>C57/C$59*C$112</f>
        <v>358849.22447626421</v>
      </c>
      <c r="D129" s="422" t="str">
        <f>CONCATENATE("=   [ ",ROUND(D57*100,0)," % x ",ROUND(C$112,2)," pounds ]")</f>
        <v>=   [ 6 % x 5728364.82 pounds ]</v>
      </c>
      <c r="E129" s="423"/>
      <c r="F129" s="423"/>
      <c r="G129" s="423"/>
    </row>
    <row r="130" spans="1:13" x14ac:dyDescent="0.2">
      <c r="B130" s="232" t="s">
        <v>54</v>
      </c>
      <c r="C130" s="89">
        <f>C58/C$59*C$112</f>
        <v>662934.77071243408</v>
      </c>
      <c r="D130" s="420" t="str">
        <f>CONCATENATE("=   [ ",ROUND(D58*100,0)," % x ",ROUND(C$112,2)," pounds ]  ")</f>
        <v xml:space="preserve">=   [ 12 % x 5728364.82 pounds ]  </v>
      </c>
      <c r="E130" s="421"/>
      <c r="F130" s="421"/>
      <c r="G130" s="421"/>
    </row>
    <row r="131" spans="1:13" ht="7.15" customHeight="1" x14ac:dyDescent="0.2"/>
    <row r="133" spans="1:13" ht="26.45" customHeight="1" x14ac:dyDescent="0.2">
      <c r="A133" s="407" t="s">
        <v>232</v>
      </c>
      <c r="B133" s="407"/>
      <c r="C133" s="407"/>
      <c r="D133" s="407"/>
      <c r="E133" s="407"/>
      <c r="F133" s="407"/>
      <c r="G133" s="407"/>
    </row>
    <row r="134" spans="1:13" ht="6" customHeight="1" x14ac:dyDescent="0.2"/>
    <row r="135" spans="1:13" ht="16.149999999999999" customHeight="1" x14ac:dyDescent="0.2">
      <c r="B135" s="39" t="s">
        <v>233</v>
      </c>
      <c r="C135" s="283"/>
      <c r="D135" s="283"/>
      <c r="E135" s="13"/>
      <c r="F135" s="13"/>
      <c r="G135" s="13"/>
      <c r="H135" s="13"/>
      <c r="I135" s="13"/>
      <c r="J135" s="13"/>
      <c r="K135" s="13"/>
      <c r="L135" s="14"/>
      <c r="M135" s="66"/>
    </row>
    <row r="136" spans="1:13" x14ac:dyDescent="0.2">
      <c r="B136" s="232" t="s">
        <v>52</v>
      </c>
      <c r="C136" s="56">
        <f>+C119+C128</f>
        <v>8835114.4283625074</v>
      </c>
      <c r="D136" s="103" t="str">
        <f>CONCATENATE("   =   [ ",ROUND(C119,2)," pounds + ",ROUND(C128,2)," pounds ]")</f>
        <v xml:space="preserve">   =   [ 4128533.6 pounds + 4706580.82 pounds ]</v>
      </c>
      <c r="E136" s="38"/>
      <c r="F136" s="56"/>
      <c r="G136" s="38"/>
      <c r="I136" s="47"/>
      <c r="J136" s="47"/>
      <c r="K136" s="50"/>
      <c r="M136" s="52"/>
    </row>
    <row r="137" spans="1:13" x14ac:dyDescent="0.2">
      <c r="B137" s="265" t="s">
        <v>53</v>
      </c>
      <c r="C137" s="55">
        <f>+C120+C129</f>
        <v>1450074.4563683667</v>
      </c>
      <c r="D137" s="75" t="str">
        <f>CONCATENATE("   =   [ ",ROUND(C120,2)," pounds + ",ROUND(C129,2)," pounds ]")</f>
        <v xml:space="preserve">   =   [ 1091225.23 pounds + 358849.22 pounds ]</v>
      </c>
      <c r="E137" s="37"/>
      <c r="F137" s="55"/>
      <c r="G137" s="37"/>
      <c r="I137" s="47"/>
      <c r="J137" s="47"/>
      <c r="K137" s="50"/>
      <c r="M137" s="52"/>
    </row>
    <row r="138" spans="1:13" x14ac:dyDescent="0.2">
      <c r="B138" s="232" t="s">
        <v>54</v>
      </c>
      <c r="C138" s="56">
        <f>+C121+C130</f>
        <v>4035723.1636304529</v>
      </c>
      <c r="D138" s="103" t="str">
        <f>CONCATENATE("   =   [ ",ROUND(C121,2)," pounds + ",ROUND(C130,2)," pounds ]")</f>
        <v xml:space="preserve">   =   [ 3372788.39 pounds + 662934.77 pounds ]</v>
      </c>
      <c r="E138" s="38"/>
      <c r="F138" s="56"/>
      <c r="G138" s="38"/>
      <c r="I138" s="47"/>
      <c r="J138" s="47"/>
      <c r="K138" s="50"/>
      <c r="M138" s="52"/>
    </row>
    <row r="139" spans="1:13" ht="7.15" customHeight="1" x14ac:dyDescent="0.2">
      <c r="M139" s="51"/>
    </row>
    <row r="142" spans="1:13" x14ac:dyDescent="0.2">
      <c r="A142" s="1" t="s">
        <v>300</v>
      </c>
    </row>
    <row r="143" spans="1:13" ht="6" customHeight="1" x14ac:dyDescent="0.2"/>
    <row r="144" spans="1:13" x14ac:dyDescent="0.2">
      <c r="A144" s="1" t="str">
        <f>CONCATENATE("Watershed: ",'Christina Basin MapShed Output'!$B$3)</f>
        <v>Watershed: Red Clay</v>
      </c>
    </row>
    <row r="145" spans="1:7" ht="6" customHeight="1" x14ac:dyDescent="0.2"/>
    <row r="146" spans="1:7" x14ac:dyDescent="0.2">
      <c r="A146" s="1" t="str">
        <f>CONCATENATE("Year: ",'Christina Basin MapShed Output'!$C$16)</f>
        <v>Year: 2012</v>
      </c>
    </row>
    <row r="148" spans="1:7" ht="28.15" customHeight="1" x14ac:dyDescent="0.2">
      <c r="A148" s="407" t="s">
        <v>239</v>
      </c>
      <c r="B148" s="407"/>
      <c r="C148" s="407"/>
      <c r="D148" s="407"/>
      <c r="E148" s="407"/>
      <c r="F148" s="407"/>
      <c r="G148" s="407"/>
    </row>
    <row r="149" spans="1:7" ht="8.4499999999999993" customHeight="1" x14ac:dyDescent="0.2"/>
    <row r="150" spans="1:7" ht="53.45" customHeight="1" x14ac:dyDescent="0.2">
      <c r="A150" s="425" t="s">
        <v>259</v>
      </c>
      <c r="B150" s="425"/>
      <c r="C150" s="348" t="s">
        <v>50</v>
      </c>
      <c r="D150" s="284" t="s">
        <v>72</v>
      </c>
      <c r="E150" s="424" t="s">
        <v>234</v>
      </c>
      <c r="F150" s="424"/>
    </row>
    <row r="151" spans="1:7" x14ac:dyDescent="0.2">
      <c r="B151" s="285" t="s">
        <v>52</v>
      </c>
      <c r="C151" s="56">
        <f>+C136</f>
        <v>8835114.4283625074</v>
      </c>
      <c r="D151" s="56">
        <f>+C56</f>
        <v>12315.7</v>
      </c>
      <c r="E151" s="334">
        <f>+C151/D151</f>
        <v>717.38629784441866</v>
      </c>
      <c r="F151" s="349" t="str">
        <f>CONCATENATE("= [",ROUND(C151,2)," lbs / ",(ROUND(D151,2))," acres ]")</f>
        <v>= [8835114.43 lbs / 12315.7 acres ]</v>
      </c>
      <c r="G151" s="38"/>
    </row>
    <row r="152" spans="1:7" x14ac:dyDescent="0.2">
      <c r="B152" s="286" t="s">
        <v>53</v>
      </c>
      <c r="C152" s="55">
        <f>+C137</f>
        <v>1450074.4563683667</v>
      </c>
      <c r="D152" s="55">
        <f>+C57</f>
        <v>939</v>
      </c>
      <c r="E152" s="335">
        <f>+C152/D152</f>
        <v>1544.2752463986867</v>
      </c>
      <c r="F152" s="350" t="str">
        <f>CONCATENATE("= [",ROUND(C152,2)," lbs / ",(ROUND(D152,2))," acres ]")</f>
        <v>= [1450074.46 lbs / 939 acres ]</v>
      </c>
      <c r="G152" s="37"/>
    </row>
    <row r="153" spans="1:7" x14ac:dyDescent="0.2">
      <c r="B153" s="285" t="s">
        <v>54</v>
      </c>
      <c r="C153" s="56">
        <f>+C138</f>
        <v>4035723.1636304529</v>
      </c>
      <c r="D153" s="56">
        <f>+C58</f>
        <v>1734.7</v>
      </c>
      <c r="E153" s="334">
        <f>+C153/D153</f>
        <v>2326.4674950311023</v>
      </c>
      <c r="F153" s="349" t="str">
        <f>CONCATENATE("= [",ROUND(C153,2)," lbs / ",(ROUND(D153,2))," acres ]")</f>
        <v>= [4035723.16 lbs / 1734.7 acres ]</v>
      </c>
      <c r="G153" s="38"/>
    </row>
    <row r="154" spans="1:7" ht="6" customHeight="1" x14ac:dyDescent="0.2"/>
    <row r="155" spans="1:7" ht="7.15" customHeight="1" x14ac:dyDescent="0.2"/>
    <row r="157" spans="1:7" x14ac:dyDescent="0.2">
      <c r="A157" s="1" t="s">
        <v>240</v>
      </c>
    </row>
    <row r="158" spans="1:7" ht="6" customHeight="1" x14ac:dyDescent="0.2"/>
    <row r="159" spans="1:7" x14ac:dyDescent="0.2">
      <c r="B159" s="1" t="s">
        <v>60</v>
      </c>
      <c r="C159" s="108">
        <f>+C39</f>
        <v>18498340</v>
      </c>
      <c r="D159" s="1" t="s">
        <v>228</v>
      </c>
      <c r="E159" s="49" t="s">
        <v>93</v>
      </c>
    </row>
    <row r="160" spans="1:7" x14ac:dyDescent="0.2">
      <c r="B160" s="68" t="s">
        <v>100</v>
      </c>
      <c r="C160" s="111">
        <f>+C73</f>
        <v>14320912.048361327</v>
      </c>
      <c r="D160" s="46" t="s">
        <v>228</v>
      </c>
      <c r="E160" s="49" t="s">
        <v>94</v>
      </c>
    </row>
    <row r="161" spans="1:7" ht="25.5" x14ac:dyDescent="0.2">
      <c r="B161" s="10" t="s">
        <v>61</v>
      </c>
      <c r="C161" s="107">
        <f>+C159-C160</f>
        <v>4177427.9516386725</v>
      </c>
      <c r="D161" s="1" t="s">
        <v>228</v>
      </c>
      <c r="E161" s="287" t="str">
        <f>CONCATENATE("[ ",ROUND(C159,2)," pounds - ",ROUND(C160,2)," pounds ]")</f>
        <v>[ 18498340 pounds - 14320912.05 pounds ]</v>
      </c>
    </row>
    <row r="162" spans="1:7" ht="8.4499999999999993" customHeight="1" x14ac:dyDescent="0.2"/>
    <row r="163" spans="1:7" x14ac:dyDescent="0.2">
      <c r="B163" s="1" t="s">
        <v>62</v>
      </c>
      <c r="C163" s="110">
        <f>+C44-C59</f>
        <v>19434.800000000003</v>
      </c>
      <c r="D163" s="1" t="s">
        <v>235</v>
      </c>
      <c r="E163" s="49" t="s">
        <v>95</v>
      </c>
    </row>
    <row r="164" spans="1:7" ht="9" customHeight="1" x14ac:dyDescent="0.2"/>
    <row r="165" spans="1:7" ht="38.25" x14ac:dyDescent="0.2">
      <c r="B165" s="69" t="s">
        <v>99</v>
      </c>
      <c r="C165" s="96">
        <f>+C161/C163</f>
        <v>214.94576489794966</v>
      </c>
      <c r="D165" s="69" t="s">
        <v>63</v>
      </c>
      <c r="E165" s="1" t="str">
        <f>CONCATENATE("=  [ ",ROUND(C161,2)," pounds / ",ROUND(C163,2)," acres ]")</f>
        <v>=  [ 4177427.95 pounds / 19434.8 acres ]</v>
      </c>
    </row>
    <row r="166" spans="1:7" ht="7.9" customHeight="1" x14ac:dyDescent="0.2"/>
    <row r="168" spans="1:7" ht="51" customHeight="1" x14ac:dyDescent="0.2">
      <c r="A168" s="407" t="s">
        <v>327</v>
      </c>
      <c r="B168" s="407"/>
      <c r="C168" s="407"/>
      <c r="D168" s="407"/>
      <c r="E168" s="407"/>
      <c r="F168" s="407"/>
      <c r="G168" s="407"/>
    </row>
  </sheetData>
  <sheetProtection sheet="1" objects="1" scenarios="1"/>
  <mergeCells count="26">
    <mergeCell ref="A150:B150"/>
    <mergeCell ref="A53:G53"/>
    <mergeCell ref="E14:G16"/>
    <mergeCell ref="A76:G76"/>
    <mergeCell ref="A7:F7"/>
    <mergeCell ref="A11:G11"/>
    <mergeCell ref="A17:A32"/>
    <mergeCell ref="A36:G36"/>
    <mergeCell ref="A42:G42"/>
    <mergeCell ref="A8:G8"/>
    <mergeCell ref="A168:G168"/>
    <mergeCell ref="A84:G84"/>
    <mergeCell ref="D119:G119"/>
    <mergeCell ref="D120:G120"/>
    <mergeCell ref="D121:G121"/>
    <mergeCell ref="D128:G128"/>
    <mergeCell ref="E150:F150"/>
    <mergeCell ref="A124:G124"/>
    <mergeCell ref="A125:G125"/>
    <mergeCell ref="A133:G133"/>
    <mergeCell ref="D129:G129"/>
    <mergeCell ref="D130:G130"/>
    <mergeCell ref="A148:G148"/>
    <mergeCell ref="A115:G115"/>
    <mergeCell ref="A108:G108"/>
    <mergeCell ref="A116:G116"/>
  </mergeCells>
  <pageMargins left="0.75" right="0.59718749999999998" top="0.5" bottom="0.75" header="0.3" footer="0.3"/>
  <pageSetup fitToWidth="0" fitToHeight="0" orientation="portrait" r:id="rId1"/>
  <headerFooter>
    <oddFooter>&amp;L&amp;"Arial,Regular"&amp;9Section 6: Backup for Stream Bank Sediment Loading&amp;C&amp;"Arial,Regular"&amp;9Page &amp;P of &amp;N&amp;R&amp;"Arial,Regular"&amp;9Christina Basin Loading Rates Tool (May 12, 2017)</oddFooter>
  </headerFooter>
  <rowBreaks count="3" manualBreakCount="3">
    <brk id="45" max="16383" man="1"/>
    <brk id="91" max="16383" man="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45"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263</v>
      </c>
      <c r="B7" s="412"/>
      <c r="C7" s="412"/>
      <c r="D7" s="412"/>
      <c r="E7" s="412"/>
      <c r="F7" s="412"/>
    </row>
    <row r="8" spans="1:11" ht="94.9" customHeight="1" x14ac:dyDescent="0.2">
      <c r="A8" s="407" t="s">
        <v>337</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264</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84</v>
      </c>
    </row>
    <row r="15" spans="1:11" ht="13.15" customHeight="1" x14ac:dyDescent="0.2">
      <c r="A15" s="436"/>
      <c r="B15" s="379" t="s">
        <v>10</v>
      </c>
      <c r="C15" s="380">
        <f>+'Christina Basin MapShed Output'!C23</f>
        <v>9449.2999999999993</v>
      </c>
    </row>
    <row r="16" spans="1:11" ht="13.15" customHeight="1" x14ac:dyDescent="0.2">
      <c r="A16" s="436"/>
      <c r="B16" s="381" t="s">
        <v>11</v>
      </c>
      <c r="C16" s="382">
        <f>+'Christina Basin MapShed Output'!C24</f>
        <v>7665.2</v>
      </c>
    </row>
    <row r="17" spans="1:3" ht="13.15" customHeight="1" x14ac:dyDescent="0.2">
      <c r="A17" s="436"/>
      <c r="B17" s="379" t="s">
        <v>12</v>
      </c>
      <c r="C17" s="380">
        <f>+'Christina Basin MapShed Output'!C25</f>
        <v>61.8</v>
      </c>
    </row>
    <row r="18" spans="1:3" ht="13.15" customHeight="1" x14ac:dyDescent="0.2">
      <c r="A18" s="436"/>
      <c r="B18" s="381" t="s">
        <v>13</v>
      </c>
      <c r="C18" s="382">
        <f>+'Christina Basin MapShed Output'!C26</f>
        <v>872.3</v>
      </c>
    </row>
    <row r="19" spans="1:3" ht="13.15" customHeight="1" x14ac:dyDescent="0.2">
      <c r="A19" s="436"/>
      <c r="B19" s="379" t="s">
        <v>14</v>
      </c>
      <c r="C19" s="380">
        <f>+'Christina Basin MapShed Output'!C27</f>
        <v>1193.5</v>
      </c>
    </row>
    <row r="20" spans="1:3" ht="13.15" customHeight="1" x14ac:dyDescent="0.2">
      <c r="A20" s="436"/>
      <c r="B20" s="381" t="s">
        <v>15</v>
      </c>
      <c r="C20" s="382">
        <f>+'Christina Basin MapShed Output'!C28</f>
        <v>108.7</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467</v>
      </c>
    </row>
    <row r="25" spans="1:3" ht="13.15" customHeight="1" x14ac:dyDescent="0.2">
      <c r="A25" s="436"/>
      <c r="B25" s="379" t="s">
        <v>20</v>
      </c>
      <c r="C25" s="380">
        <f>+'Christina Basin MapShed Output'!C33</f>
        <v>647.4</v>
      </c>
    </row>
    <row r="26" spans="1:3" ht="13.15" customHeight="1" x14ac:dyDescent="0.2">
      <c r="A26" s="436"/>
      <c r="B26" s="381" t="s">
        <v>21</v>
      </c>
      <c r="C26" s="382">
        <f>+'Christina Basin MapShed Output'!C34</f>
        <v>1648.2</v>
      </c>
    </row>
    <row r="27" spans="1:3" ht="13.15" customHeight="1" x14ac:dyDescent="0.2">
      <c r="A27" s="436"/>
      <c r="B27" s="379" t="s">
        <v>22</v>
      </c>
      <c r="C27" s="380">
        <f>+'Christina Basin MapShed Output'!C35</f>
        <v>11848.7</v>
      </c>
    </row>
    <row r="28" spans="1:3" ht="13.15" customHeight="1" x14ac:dyDescent="0.2">
      <c r="A28" s="436"/>
      <c r="B28" s="381" t="s">
        <v>23</v>
      </c>
      <c r="C28" s="382">
        <f>+'Christina Basin MapShed Output'!C36</f>
        <v>291.60000000000002</v>
      </c>
    </row>
    <row r="29" spans="1:3" ht="13.15" customHeight="1" x14ac:dyDescent="0.2">
      <c r="A29" s="437"/>
      <c r="B29" s="383" t="s">
        <v>24</v>
      </c>
      <c r="C29" s="384">
        <f>+'Christina Basin MapShed Output'!C37</f>
        <v>86.5</v>
      </c>
    </row>
    <row r="30" spans="1:3" ht="6" customHeight="1" x14ac:dyDescent="0.2">
      <c r="C30" s="263"/>
    </row>
    <row r="31" spans="1:3" ht="15.6" customHeight="1" x14ac:dyDescent="0.2">
      <c r="B31" s="39" t="s">
        <v>254</v>
      </c>
      <c r="C31" s="264">
        <f>SUM(C14:C30)</f>
        <v>34424.200000000004</v>
      </c>
    </row>
    <row r="32" spans="1:3" ht="16.899999999999999" customHeight="1" x14ac:dyDescent="0.2"/>
    <row r="33" spans="1:7" x14ac:dyDescent="0.2">
      <c r="A33" s="407" t="s">
        <v>265</v>
      </c>
      <c r="B33" s="407"/>
      <c r="C33" s="407"/>
      <c r="D33" s="407"/>
      <c r="E33" s="407"/>
      <c r="F33" s="407"/>
      <c r="G33" s="407"/>
    </row>
    <row r="34" spans="1:7" ht="6" customHeight="1" x14ac:dyDescent="0.2">
      <c r="B34" s="43"/>
      <c r="C34" s="44"/>
      <c r="D34" s="41"/>
    </row>
    <row r="35" spans="1:7" x14ac:dyDescent="0.2">
      <c r="B35" s="46"/>
      <c r="C35" s="54" t="s">
        <v>266</v>
      </c>
      <c r="D35" s="54"/>
    </row>
    <row r="36" spans="1:7" x14ac:dyDescent="0.2">
      <c r="B36" s="56" t="s">
        <v>28</v>
      </c>
      <c r="C36" s="56">
        <f>+'Christina Basin MapShed Output'!H40</f>
        <v>9250.59</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Red Clay watershed.</v>
      </c>
      <c r="B39" s="407"/>
      <c r="C39" s="407"/>
      <c r="D39" s="407"/>
      <c r="E39" s="407"/>
      <c r="F39" s="407"/>
      <c r="G39" s="407"/>
    </row>
    <row r="40" spans="1:7" ht="6" customHeight="1" x14ac:dyDescent="0.2">
      <c r="A40" s="353"/>
      <c r="B40" s="353"/>
      <c r="C40" s="353"/>
      <c r="D40" s="353"/>
      <c r="E40" s="353"/>
      <c r="F40" s="353"/>
      <c r="G40" s="353"/>
    </row>
    <row r="41" spans="1:7" x14ac:dyDescent="0.2">
      <c r="B41" s="60" t="s">
        <v>214</v>
      </c>
      <c r="C41" s="104">
        <f>SUM(C14:C30)</f>
        <v>34424.200000000004</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267</v>
      </c>
      <c r="B44" s="43"/>
      <c r="C44" s="44"/>
      <c r="D44" s="41"/>
    </row>
    <row r="45" spans="1:7" ht="6" customHeight="1" x14ac:dyDescent="0.2">
      <c r="B45" s="43"/>
      <c r="C45" s="44"/>
      <c r="D45" s="41"/>
    </row>
    <row r="46" spans="1:7" ht="13.9" customHeight="1" x14ac:dyDescent="0.2">
      <c r="A46" s="1" t="str">
        <f>CONCATENATE("Watershed: ",'Christina Basin MapShed Output'!$B$3)</f>
        <v>Watershed: Red Clay</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328</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12315.7</v>
      </c>
      <c r="D53" s="272">
        <f>+C53/C$56</f>
        <v>0.82162728328018464</v>
      </c>
      <c r="E53" s="72" t="s">
        <v>88</v>
      </c>
      <c r="F53" s="56"/>
      <c r="G53" s="38"/>
    </row>
    <row r="54" spans="1:7" x14ac:dyDescent="0.2">
      <c r="B54" s="265" t="s">
        <v>53</v>
      </c>
      <c r="C54" s="277">
        <f>+C25+C28</f>
        <v>939</v>
      </c>
      <c r="D54" s="273">
        <f>+C54/C$56</f>
        <v>6.2644268616488974E-2</v>
      </c>
      <c r="E54" s="74" t="s">
        <v>89</v>
      </c>
      <c r="F54" s="55"/>
      <c r="G54" s="37"/>
    </row>
    <row r="55" spans="1:7" ht="13.5" thickBot="1" x14ac:dyDescent="0.25">
      <c r="B55" s="266" t="s">
        <v>54</v>
      </c>
      <c r="C55" s="280">
        <f>+C26+C29</f>
        <v>1734.7</v>
      </c>
      <c r="D55" s="293">
        <f>+C55/C$56</f>
        <v>0.11572844810332635</v>
      </c>
      <c r="E55" s="72" t="s">
        <v>90</v>
      </c>
      <c r="F55" s="56"/>
      <c r="G55" s="38"/>
    </row>
    <row r="56" spans="1:7" x14ac:dyDescent="0.2">
      <c r="B56" s="57" t="s">
        <v>55</v>
      </c>
      <c r="C56" s="292">
        <f>+C53+C54+C55</f>
        <v>14989.400000000001</v>
      </c>
      <c r="D56" s="294">
        <f>+C56/C$56</f>
        <v>1</v>
      </c>
      <c r="E56" s="49" t="s">
        <v>91</v>
      </c>
    </row>
    <row r="57" spans="1:7" ht="6.6" customHeight="1" x14ac:dyDescent="0.2"/>
    <row r="59" spans="1:7" x14ac:dyDescent="0.2">
      <c r="A59" s="1" t="s">
        <v>271</v>
      </c>
    </row>
    <row r="60" spans="1:7" x14ac:dyDescent="0.2">
      <c r="B60" s="1" t="s">
        <v>268</v>
      </c>
    </row>
    <row r="61" spans="1:7" x14ac:dyDescent="0.2">
      <c r="B61" s="1" t="s">
        <v>269</v>
      </c>
    </row>
    <row r="62" spans="1:7" ht="7.9" customHeight="1" x14ac:dyDescent="0.2"/>
    <row r="63" spans="1:7" x14ac:dyDescent="0.2">
      <c r="B63" s="1" t="s">
        <v>270</v>
      </c>
      <c r="C63" s="106">
        <f>C36</f>
        <v>9250.59</v>
      </c>
      <c r="D63" s="1" t="s">
        <v>50</v>
      </c>
      <c r="E63" s="49" t="s">
        <v>66</v>
      </c>
    </row>
    <row r="64" spans="1:7" x14ac:dyDescent="0.2">
      <c r="B64" s="1" t="s">
        <v>59</v>
      </c>
      <c r="C64" s="105">
        <f>+C56</f>
        <v>14989.400000000001</v>
      </c>
      <c r="D64" s="1" t="s">
        <v>32</v>
      </c>
      <c r="E64" s="49" t="s">
        <v>65</v>
      </c>
    </row>
    <row r="65" spans="1:7" ht="13.15" customHeight="1" x14ac:dyDescent="0.2">
      <c r="B65" s="1" t="s">
        <v>214</v>
      </c>
      <c r="C65" s="105">
        <f>+C41</f>
        <v>34424.200000000004</v>
      </c>
      <c r="D65" s="1" t="s">
        <v>32</v>
      </c>
      <c r="E65" s="49" t="s">
        <v>67</v>
      </c>
    </row>
    <row r="66" spans="1:7" ht="25.15" customHeight="1" x14ac:dyDescent="0.2">
      <c r="B66" s="267" t="s">
        <v>105</v>
      </c>
      <c r="C66" s="48">
        <f>+C64/C65</f>
        <v>0.43543205070851321</v>
      </c>
      <c r="D66" s="49" t="s">
        <v>219</v>
      </c>
      <c r="E66" s="1" t="str">
        <f>CONCATENATE("[ ",ROUND(C64,2)," acres / ",ROUND(C65,2)," acres ]")</f>
        <v>[ 14989.4 acres / 34424.2 acres ]</v>
      </c>
    </row>
    <row r="67" spans="1:7" ht="7.15" customHeight="1" x14ac:dyDescent="0.2"/>
    <row r="68" spans="1:7" ht="42" customHeight="1" x14ac:dyDescent="0.2">
      <c r="A68" s="62"/>
      <c r="B68" s="10" t="s">
        <v>272</v>
      </c>
      <c r="C68" s="108">
        <f>+C63*C66*0.4</f>
        <v>1611.2013495854662</v>
      </c>
      <c r="D68" s="1" t="s">
        <v>220</v>
      </c>
      <c r="E68" s="1" t="str">
        <f>CONCATENATE("[ 40% x ",ROUND(C63,2)," pounds x ",ROUND(C66*100,0),"% ]")</f>
        <v>[ 40% x 9250.59 pounds x 44% ]</v>
      </c>
    </row>
    <row r="69" spans="1:7" ht="26.25" thickBot="1" x14ac:dyDescent="0.25">
      <c r="A69" s="62"/>
      <c r="B69" s="268" t="s">
        <v>273</v>
      </c>
      <c r="C69" s="269">
        <f>+C63*0.6</f>
        <v>5550.3540000000003</v>
      </c>
      <c r="D69" s="270" t="s">
        <v>220</v>
      </c>
      <c r="E69" s="1" t="str">
        <f>CONCATENATE("[ 60% x ",ROUND(C63,2)," pounds ]")</f>
        <v>[ 60% x 9250.59 pounds ]</v>
      </c>
    </row>
    <row r="70" spans="1:7" ht="28.9" customHeight="1" x14ac:dyDescent="0.2">
      <c r="B70" s="271" t="s">
        <v>101</v>
      </c>
      <c r="C70" s="109">
        <f>+C69+C68</f>
        <v>7161.5553495854665</v>
      </c>
      <c r="D70" s="63" t="s">
        <v>50</v>
      </c>
    </row>
    <row r="71" spans="1:7" ht="6.6" customHeight="1" x14ac:dyDescent="0.2"/>
    <row r="72" spans="1:7" ht="8.4499999999999993" customHeight="1" x14ac:dyDescent="0.2"/>
    <row r="73" spans="1:7" ht="42" customHeight="1" x14ac:dyDescent="0.2">
      <c r="A73" s="407" t="s">
        <v>274</v>
      </c>
      <c r="B73" s="407"/>
      <c r="C73" s="407"/>
      <c r="D73" s="407"/>
      <c r="E73" s="407"/>
      <c r="F73" s="407"/>
      <c r="G73" s="407"/>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225</v>
      </c>
      <c r="B81" s="407"/>
      <c r="C81" s="407"/>
      <c r="D81" s="407"/>
      <c r="E81" s="407"/>
      <c r="F81" s="407"/>
      <c r="G81" s="407"/>
    </row>
    <row r="82" spans="1:7" ht="6" customHeight="1" x14ac:dyDescent="0.2"/>
    <row r="83" spans="1:7" x14ac:dyDescent="0.2">
      <c r="B83" s="39" t="s">
        <v>56</v>
      </c>
    </row>
    <row r="84" spans="1:7" x14ac:dyDescent="0.2">
      <c r="B84" s="103" t="s">
        <v>52</v>
      </c>
      <c r="C84" s="276">
        <f>+C53*C76</f>
        <v>1847.355</v>
      </c>
      <c r="D84" s="56" t="s">
        <v>223</v>
      </c>
      <c r="E84" s="295" t="str">
        <f>CONCATENATE(" [ ",ROUND(C53,2)," acres x ",C76*100," percent ]")</f>
        <v xml:space="preserve"> [ 12315.7 acres x 15 percent ]</v>
      </c>
      <c r="F84" s="56"/>
      <c r="G84" s="38"/>
    </row>
    <row r="85" spans="1:7" x14ac:dyDescent="0.2">
      <c r="B85" s="75" t="s">
        <v>53</v>
      </c>
      <c r="C85" s="277">
        <f>+C54*C77</f>
        <v>488.28000000000003</v>
      </c>
      <c r="D85" s="55" t="s">
        <v>223</v>
      </c>
      <c r="E85" s="296" t="str">
        <f>CONCATENATE(" [ ",ROUND(C54,2)," acres x ",C77*100," percent ]")</f>
        <v xml:space="preserve"> [ 939 acres x 52 percent ]</v>
      </c>
      <c r="F85" s="55"/>
      <c r="G85" s="37"/>
    </row>
    <row r="86" spans="1:7" ht="13.5" thickBot="1" x14ac:dyDescent="0.25">
      <c r="B86" s="279" t="s">
        <v>54</v>
      </c>
      <c r="C86" s="280">
        <f>+C55*C78</f>
        <v>1509.1890000000001</v>
      </c>
      <c r="D86" s="297" t="s">
        <v>223</v>
      </c>
      <c r="E86" s="295" t="str">
        <f>CONCATENATE(" [ ",ROUND(C55,2)," acres x ",C78*100," percent ]")</f>
        <v xml:space="preserve"> [ 1734.7 acres x 87 percent ]</v>
      </c>
      <c r="F86" s="56"/>
      <c r="G86" s="38"/>
    </row>
    <row r="87" spans="1:7" ht="28.9" customHeight="1" x14ac:dyDescent="0.2">
      <c r="B87" s="13" t="s">
        <v>224</v>
      </c>
      <c r="C87" s="278">
        <f>+C84+C85+C86</f>
        <v>3844.8240000000005</v>
      </c>
      <c r="D87" s="1" t="s">
        <v>32</v>
      </c>
    </row>
    <row r="88" spans="1:7" ht="6" customHeight="1" x14ac:dyDescent="0.2"/>
    <row r="90" spans="1:7" x14ac:dyDescent="0.2">
      <c r="A90" s="1" t="s">
        <v>299</v>
      </c>
    </row>
    <row r="91" spans="1:7" ht="6" customHeight="1" x14ac:dyDescent="0.2"/>
    <row r="92" spans="1:7" x14ac:dyDescent="0.2">
      <c r="A92" s="1" t="str">
        <f>CONCATENATE("Watershed: ",'Christina Basin MapShed Output'!$B$3)</f>
        <v>Watershed: Red Clay</v>
      </c>
    </row>
    <row r="93" spans="1:7" ht="6" customHeight="1" x14ac:dyDescent="0.2"/>
    <row r="94" spans="1:7" x14ac:dyDescent="0.2">
      <c r="A94" s="1" t="str">
        <f>CONCATENATE("Year: ",'Christina Basin MapShed Output'!$C$16)</f>
        <v>Year: 2012</v>
      </c>
    </row>
    <row r="96" spans="1:7" x14ac:dyDescent="0.2">
      <c r="A96" s="1" t="s">
        <v>226</v>
      </c>
    </row>
    <row r="97" spans="1:7" ht="6" customHeight="1" x14ac:dyDescent="0.2"/>
    <row r="98" spans="1:7" x14ac:dyDescent="0.2">
      <c r="B98" s="39" t="s">
        <v>57</v>
      </c>
    </row>
    <row r="99" spans="1:7" x14ac:dyDescent="0.2">
      <c r="B99" s="232" t="s">
        <v>52</v>
      </c>
      <c r="C99" s="274">
        <f>+C84/(C$84+C$85+C$86)</f>
        <v>0.48047843022203351</v>
      </c>
      <c r="D99" s="281" t="s">
        <v>227</v>
      </c>
      <c r="E99" s="295" t="str">
        <f>CONCATENATE(" [ ",ROUND(C84,2)," acres / ",ROUND(C87,2)," acres ]")</f>
        <v xml:space="preserve"> [ 1847.36 acres / 3844.82 acres ]</v>
      </c>
      <c r="F99" s="56"/>
      <c r="G99" s="38"/>
    </row>
    <row r="100" spans="1:7" x14ac:dyDescent="0.2">
      <c r="B100" s="265" t="s">
        <v>53</v>
      </c>
      <c r="C100" s="275">
        <f>+C85/(C$84+C$85+C$86)</f>
        <v>0.12699671038258187</v>
      </c>
      <c r="D100" s="282" t="s">
        <v>227</v>
      </c>
      <c r="E100" s="296" t="str">
        <f>CONCATENATE(" [ ",ROUND(C85,2)," acres / ",ROUND(C87,2)," acres ]")</f>
        <v xml:space="preserve"> [ 488.28 acres / 3844.82 acres ]</v>
      </c>
      <c r="F100" s="55"/>
      <c r="G100" s="37"/>
    </row>
    <row r="101" spans="1:7" ht="13.5" thickBot="1" x14ac:dyDescent="0.25">
      <c r="B101" s="266" t="s">
        <v>54</v>
      </c>
      <c r="C101" s="298">
        <f>+C86/(C$84+C$85+C$86)</f>
        <v>0.39252485939538451</v>
      </c>
      <c r="D101" s="281" t="s">
        <v>227</v>
      </c>
      <c r="E101" s="295" t="str">
        <f>CONCATENATE(" [ ",ROUND(C86,2)," acres / ",ROUND(C87,2)," acres ]")</f>
        <v xml:space="preserve"> [ 1509.19 acres / 3844.82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7" t="s">
        <v>257</v>
      </c>
      <c r="B105" s="407"/>
      <c r="C105" s="407"/>
      <c r="D105" s="407"/>
      <c r="E105" s="407"/>
      <c r="F105" s="407"/>
      <c r="G105" s="407"/>
    </row>
    <row r="106" spans="1:7" ht="6" customHeight="1" x14ac:dyDescent="0.2"/>
    <row r="107" spans="1:7" ht="25.5" customHeight="1" x14ac:dyDescent="0.2">
      <c r="B107" s="347" t="s">
        <v>101</v>
      </c>
      <c r="C107" s="107">
        <f>+C70</f>
        <v>7161.5553495854665</v>
      </c>
      <c r="D107" s="1" t="s">
        <v>228</v>
      </c>
      <c r="E107" s="49" t="s">
        <v>92</v>
      </c>
    </row>
    <row r="108" spans="1:7" ht="25.5" customHeight="1" x14ac:dyDescent="0.2">
      <c r="B108" s="353" t="s">
        <v>68</v>
      </c>
      <c r="C108" s="108">
        <f>+C107*0.6</f>
        <v>4296.9332097512797</v>
      </c>
      <c r="D108" s="1" t="s">
        <v>228</v>
      </c>
      <c r="E108" s="1" t="str">
        <f xml:space="preserve"> CONCATENATE(" [ ",ROUND(C$107,2)," pounds x 60% ]")</f>
        <v xml:space="preserve"> [ 7161.56 pounds x 60% ]</v>
      </c>
    </row>
    <row r="109" spans="1:7" ht="25.5" customHeight="1" x14ac:dyDescent="0.2">
      <c r="B109" s="353" t="s">
        <v>69</v>
      </c>
      <c r="C109" s="108">
        <f>+C107*0.4</f>
        <v>2864.6221398341868</v>
      </c>
      <c r="D109" s="1" t="s">
        <v>228</v>
      </c>
      <c r="E109" s="1" t="str">
        <f xml:space="preserve"> CONCATENATE(" [ ",ROUND(C$107,2)," pounds x 40% ]")</f>
        <v xml:space="preserve"> [ 7161.56 pounds x 40% ]</v>
      </c>
    </row>
    <row r="110" spans="1:7" ht="6" customHeight="1" x14ac:dyDescent="0.2"/>
    <row r="111" spans="1:7" ht="13.15" customHeight="1" x14ac:dyDescent="0.2"/>
    <row r="112" spans="1:7" ht="13.9" customHeight="1" x14ac:dyDescent="0.2">
      <c r="A112" s="407" t="s">
        <v>258</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4296.93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275</v>
      </c>
      <c r="C115" s="13"/>
      <c r="D115" s="13"/>
      <c r="E115" s="13"/>
      <c r="F115" s="10"/>
    </row>
    <row r="116" spans="1:7" x14ac:dyDescent="0.2">
      <c r="B116" s="232" t="s">
        <v>52</v>
      </c>
      <c r="C116" s="89">
        <f>C99*C$108</f>
        <v>2064.5837233902189</v>
      </c>
      <c r="D116" s="420" t="str">
        <f>CONCATENATE("=   [ ",ROUND(C99*100,0)," % x ",ROUND(C$108,2)," pounds ]")</f>
        <v>=   [ 48 % x 4296.93 pounds ]</v>
      </c>
      <c r="E116" s="421"/>
      <c r="F116" s="421"/>
      <c r="G116" s="421"/>
    </row>
    <row r="117" spans="1:7" x14ac:dyDescent="0.2">
      <c r="B117" s="265" t="s">
        <v>53</v>
      </c>
      <c r="C117" s="90">
        <f>C100*C$108</f>
        <v>545.69638237208119</v>
      </c>
      <c r="D117" s="422" t="str">
        <f>CONCATENATE("=   [ ",ROUND(C100*100,0)," % x ",ROUND(C$108,2)," pounds ]")</f>
        <v>=   [ 13 % x 4296.93 pounds ]</v>
      </c>
      <c r="E117" s="423"/>
      <c r="F117" s="423"/>
      <c r="G117" s="423"/>
    </row>
    <row r="118" spans="1:7" x14ac:dyDescent="0.2">
      <c r="B118" s="232" t="s">
        <v>54</v>
      </c>
      <c r="C118" s="89">
        <f>C101*C$108</f>
        <v>1686.6531039889794</v>
      </c>
      <c r="D118" s="420" t="str">
        <f>CONCATENATE("=   [ ",ROUND(C101*100,0)," % x ",ROUND(C$108,2)," pounds ]")</f>
        <v>=   [ 39 % x 4296.93 pounds ]</v>
      </c>
      <c r="E118" s="421"/>
      <c r="F118" s="421"/>
      <c r="G118" s="421"/>
    </row>
    <row r="119" spans="1:7" ht="6" customHeight="1" x14ac:dyDescent="0.2">
      <c r="C119" s="51"/>
    </row>
    <row r="121" spans="1:7" x14ac:dyDescent="0.2">
      <c r="A121" s="407" t="s">
        <v>231</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2864.62 pounds (calculated in Step 9):</v>
      </c>
      <c r="B122" s="407"/>
      <c r="C122" s="407"/>
      <c r="D122" s="407"/>
      <c r="E122" s="407"/>
      <c r="F122" s="407"/>
      <c r="G122" s="407"/>
    </row>
    <row r="123" spans="1:7" ht="6" customHeight="1" x14ac:dyDescent="0.2"/>
    <row r="124" spans="1:7" ht="16.899999999999999" customHeight="1" x14ac:dyDescent="0.2">
      <c r="B124" s="39" t="s">
        <v>276</v>
      </c>
      <c r="C124" s="13"/>
      <c r="D124" s="13"/>
      <c r="E124" s="13"/>
    </row>
    <row r="125" spans="1:7" x14ac:dyDescent="0.2">
      <c r="B125" s="232" t="s">
        <v>52</v>
      </c>
      <c r="C125" s="89">
        <f>C53/C$56*C$109</f>
        <v>2353.6517063762321</v>
      </c>
      <c r="D125" s="420" t="str">
        <f>CONCATENATE("=   [ ",ROUND(D53*100,0)," % x ",ROUND(C$109,2)," pounds ]")</f>
        <v>=   [ 82 % x 2864.62 pounds ]</v>
      </c>
      <c r="E125" s="421"/>
      <c r="F125" s="421"/>
      <c r="G125" s="421"/>
    </row>
    <row r="126" spans="1:7" x14ac:dyDescent="0.2">
      <c r="B126" s="265" t="s">
        <v>53</v>
      </c>
      <c r="C126" s="90">
        <f>C54/C$56*C$109</f>
        <v>179.45215881251423</v>
      </c>
      <c r="D126" s="422" t="str">
        <f>CONCATENATE("=   [ ",ROUND(D54*100,0)," % x ",ROUND(C$109,2)," pounds ]")</f>
        <v>=   [ 6 % x 2864.62 pounds ]</v>
      </c>
      <c r="E126" s="423"/>
      <c r="F126" s="423"/>
      <c r="G126" s="423"/>
    </row>
    <row r="127" spans="1:7" x14ac:dyDescent="0.2">
      <c r="B127" s="232" t="s">
        <v>54</v>
      </c>
      <c r="C127" s="89">
        <f>C55/C$56*C$109</f>
        <v>331.51827464544033</v>
      </c>
      <c r="D127" s="420" t="str">
        <f>CONCATENATE("=   [ ",ROUND(D55*100,0)," % x ",ROUND(C$109,2)," pounds ]  ")</f>
        <v xml:space="preserve">=   [ 12 % x 2864.62 pounds ]  </v>
      </c>
      <c r="E127" s="421"/>
      <c r="F127" s="421"/>
      <c r="G127" s="421"/>
    </row>
    <row r="128" spans="1:7" ht="7.15" customHeight="1" x14ac:dyDescent="0.2"/>
    <row r="130" spans="1:13" ht="26.45" customHeight="1" x14ac:dyDescent="0.2">
      <c r="A130" s="407" t="s">
        <v>232</v>
      </c>
      <c r="B130" s="407"/>
      <c r="C130" s="407"/>
      <c r="D130" s="407"/>
      <c r="E130" s="407"/>
      <c r="F130" s="407"/>
      <c r="G130" s="407"/>
    </row>
    <row r="131" spans="1:13" ht="6" customHeight="1" x14ac:dyDescent="0.2"/>
    <row r="132" spans="1:13" ht="16.149999999999999" customHeight="1" x14ac:dyDescent="0.2">
      <c r="B132" s="39" t="s">
        <v>277</v>
      </c>
      <c r="C132" s="283"/>
      <c r="D132" s="283"/>
      <c r="E132" s="13"/>
      <c r="F132" s="13"/>
      <c r="G132" s="13"/>
      <c r="H132" s="13"/>
      <c r="I132" s="13"/>
      <c r="J132" s="13"/>
      <c r="K132" s="13"/>
      <c r="L132" s="14"/>
      <c r="M132" s="66"/>
    </row>
    <row r="133" spans="1:13" x14ac:dyDescent="0.2">
      <c r="B133" s="232" t="s">
        <v>52</v>
      </c>
      <c r="C133" s="56">
        <f>+C116+C125</f>
        <v>4418.2354297664515</v>
      </c>
      <c r="D133" s="103" t="str">
        <f>CONCATENATE("   =   [ ",ROUND(C116,2)," pounds + ",ROUND(C125,2)," pounds ]")</f>
        <v xml:space="preserve">   =   [ 2064.58 pounds + 2353.65 pounds ]</v>
      </c>
      <c r="E133" s="38"/>
      <c r="F133" s="56"/>
      <c r="G133" s="38"/>
      <c r="I133" s="47"/>
      <c r="J133" s="47"/>
      <c r="K133" s="50"/>
      <c r="M133" s="52"/>
    </row>
    <row r="134" spans="1:13" x14ac:dyDescent="0.2">
      <c r="B134" s="265" t="s">
        <v>53</v>
      </c>
      <c r="C134" s="55">
        <f>+C117+C126</f>
        <v>725.14854118459539</v>
      </c>
      <c r="D134" s="75" t="str">
        <f>CONCATENATE("   =   [ ",ROUND(C117,2)," pounds + ",ROUND(C126,2)," pounds ]")</f>
        <v xml:space="preserve">   =   [ 545.7 pounds + 179.45 pounds ]</v>
      </c>
      <c r="E134" s="37"/>
      <c r="F134" s="55"/>
      <c r="G134" s="37"/>
      <c r="I134" s="47"/>
      <c r="J134" s="47"/>
      <c r="K134" s="50"/>
      <c r="M134" s="52"/>
    </row>
    <row r="135" spans="1:13" x14ac:dyDescent="0.2">
      <c r="B135" s="232" t="s">
        <v>54</v>
      </c>
      <c r="C135" s="56">
        <f>+C118+C127</f>
        <v>2018.1713786344199</v>
      </c>
      <c r="D135" s="103" t="str">
        <f>CONCATENATE("   =   [ ",ROUND(C118,2)," pounds + ",ROUND(C127,2)," pounds ]")</f>
        <v xml:space="preserve">   =   [ 1686.65 pounds + 331.52 pounds ]</v>
      </c>
      <c r="E135" s="38"/>
      <c r="F135" s="56"/>
      <c r="G135" s="38"/>
      <c r="I135" s="47"/>
      <c r="J135" s="47"/>
      <c r="K135" s="50"/>
      <c r="M135" s="52"/>
    </row>
    <row r="136" spans="1:13" ht="7.15" customHeight="1" x14ac:dyDescent="0.2">
      <c r="M136" s="51"/>
    </row>
    <row r="139" spans="1:13" x14ac:dyDescent="0.2">
      <c r="A139" s="1" t="s">
        <v>298</v>
      </c>
    </row>
    <row r="140" spans="1:13" ht="6" customHeight="1" x14ac:dyDescent="0.2"/>
    <row r="141" spans="1:13" x14ac:dyDescent="0.2">
      <c r="A141" s="1" t="str">
        <f>CONCATENATE("Watershed: ",'Christina Basin MapShed Output'!$B$3)</f>
        <v>Watershed: Red Clay</v>
      </c>
    </row>
    <row r="142" spans="1:13" ht="6" customHeight="1" x14ac:dyDescent="0.2"/>
    <row r="143" spans="1:13" x14ac:dyDescent="0.2">
      <c r="A143" s="1" t="str">
        <f>CONCATENATE("Year: ",'Christina Basin MapShed Output'!$C$16)</f>
        <v>Year: 2012</v>
      </c>
    </row>
    <row r="145" spans="1:7" ht="28.15" customHeight="1" x14ac:dyDescent="0.2">
      <c r="A145" s="407" t="s">
        <v>239</v>
      </c>
      <c r="B145" s="407"/>
      <c r="C145" s="407"/>
      <c r="D145" s="407"/>
      <c r="E145" s="407"/>
      <c r="F145" s="407"/>
      <c r="G145" s="407"/>
    </row>
    <row r="146" spans="1:7" ht="8.4499999999999993" customHeight="1" x14ac:dyDescent="0.2"/>
    <row r="147" spans="1:7" ht="53.45" customHeight="1" x14ac:dyDescent="0.2">
      <c r="A147" s="425" t="s">
        <v>281</v>
      </c>
      <c r="B147" s="425"/>
      <c r="C147" s="348" t="s">
        <v>50</v>
      </c>
      <c r="D147" s="284" t="s">
        <v>72</v>
      </c>
      <c r="E147" s="424" t="s">
        <v>280</v>
      </c>
      <c r="F147" s="424"/>
    </row>
    <row r="148" spans="1:7" x14ac:dyDescent="0.2">
      <c r="B148" s="285" t="s">
        <v>52</v>
      </c>
      <c r="C148" s="56">
        <f>+C133</f>
        <v>4418.2354297664515</v>
      </c>
      <c r="D148" s="56">
        <f>+C53</f>
        <v>12315.7</v>
      </c>
      <c r="E148" s="334">
        <f>+C148/D148</f>
        <v>0.35874821810911695</v>
      </c>
      <c r="F148" s="103" t="str">
        <f>CONCATENATE("= [",ROUND(C148,2)," lbs / ",(ROUND(D148,2))," acres ]")</f>
        <v>= [4418.24 lbs / 12315.7 acres ]</v>
      </c>
      <c r="G148" s="38"/>
    </row>
    <row r="149" spans="1:7" x14ac:dyDescent="0.2">
      <c r="B149" s="286" t="s">
        <v>53</v>
      </c>
      <c r="C149" s="55">
        <f>+C134</f>
        <v>725.14854118459539</v>
      </c>
      <c r="D149" s="55">
        <f>+C54</f>
        <v>939</v>
      </c>
      <c r="E149" s="335">
        <f>+C149/D149</f>
        <v>0.77225616739573522</v>
      </c>
      <c r="F149" s="75" t="str">
        <f>CONCATENATE("= [",ROUND(C149,2)," lbs / ",(ROUND(D149,2))," acres ]")</f>
        <v>= [725.15 lbs / 939 acres ]</v>
      </c>
      <c r="G149" s="37"/>
    </row>
    <row r="150" spans="1:7" x14ac:dyDescent="0.2">
      <c r="B150" s="285" t="s">
        <v>54</v>
      </c>
      <c r="C150" s="56">
        <f>+C135</f>
        <v>2018.1713786344199</v>
      </c>
      <c r="D150" s="56">
        <f>+C55</f>
        <v>1734.7</v>
      </c>
      <c r="E150" s="334">
        <f>+C150/D150</f>
        <v>1.1634123356398338</v>
      </c>
      <c r="F150" s="103" t="str">
        <f>CONCATENATE("= [",ROUND(C150,2)," lbs / ",(ROUND(D150,2))," acres ]")</f>
        <v>= [2018.17 lbs / 1734.7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9250.59</v>
      </c>
      <c r="D156" s="1" t="s">
        <v>228</v>
      </c>
      <c r="E156" s="49" t="s">
        <v>93</v>
      </c>
    </row>
    <row r="157" spans="1:7" ht="29.45" customHeight="1" x14ac:dyDescent="0.2">
      <c r="B157" s="355" t="s">
        <v>278</v>
      </c>
      <c r="C157" s="111">
        <f>+C70</f>
        <v>7161.5553495854665</v>
      </c>
      <c r="D157" s="46" t="s">
        <v>228</v>
      </c>
      <c r="E157" s="49" t="s">
        <v>94</v>
      </c>
    </row>
    <row r="158" spans="1:7" ht="25.5" x14ac:dyDescent="0.2">
      <c r="B158" s="10" t="s">
        <v>61</v>
      </c>
      <c r="C158" s="107">
        <f>+C156-C157</f>
        <v>2089.0346504145336</v>
      </c>
      <c r="D158" s="1" t="s">
        <v>228</v>
      </c>
      <c r="E158" s="287" t="str">
        <f>CONCATENATE(" [ ",ROUND(C156,2)," pounds - ",ROUND(C157,2)," pounds ]")</f>
        <v xml:space="preserve"> [ 9250.59 pounds - 7161.56 pounds ]</v>
      </c>
    </row>
    <row r="159" spans="1:7" ht="8.4499999999999993" customHeight="1" x14ac:dyDescent="0.2"/>
    <row r="160" spans="1:7" x14ac:dyDescent="0.2">
      <c r="B160" s="1" t="s">
        <v>62</v>
      </c>
      <c r="C160" s="110">
        <f>+C41-C56</f>
        <v>19434.800000000003</v>
      </c>
      <c r="D160" s="1" t="s">
        <v>235</v>
      </c>
      <c r="E160" s="49" t="s">
        <v>95</v>
      </c>
    </row>
    <row r="161" spans="1:7" ht="9" customHeight="1" x14ac:dyDescent="0.2"/>
    <row r="162" spans="1:7" ht="38.25" x14ac:dyDescent="0.2">
      <c r="B162" s="69" t="s">
        <v>279</v>
      </c>
      <c r="C162" s="96">
        <f>+C158/C160</f>
        <v>0.10748938246930935</v>
      </c>
      <c r="D162" s="69" t="s">
        <v>63</v>
      </c>
      <c r="E162" s="1" t="str">
        <f>CONCATENATE("=  [ ",ROUND(C158,2)," pounds / ",ROUND(C160,2)," acres ]")</f>
        <v>=  [ 2089.03 pounds / 19434.8 acres ]</v>
      </c>
    </row>
    <row r="163" spans="1:7" ht="7.9" customHeight="1" x14ac:dyDescent="0.2"/>
    <row r="165" spans="1:7" ht="51" customHeight="1" x14ac:dyDescent="0.2">
      <c r="A165" s="407" t="s">
        <v>329</v>
      </c>
      <c r="B165" s="407"/>
      <c r="C165" s="407"/>
      <c r="D165" s="407"/>
      <c r="E165" s="407"/>
      <c r="F165" s="407"/>
      <c r="G165" s="407"/>
    </row>
  </sheetData>
  <sheetProtection sheet="1" objects="1" scenarios="1"/>
  <mergeCells count="25">
    <mergeCell ref="A165:G165"/>
    <mergeCell ref="D125:G125"/>
    <mergeCell ref="D126:G126"/>
    <mergeCell ref="D127:G127"/>
    <mergeCell ref="A130:G130"/>
    <mergeCell ref="A145:G145"/>
    <mergeCell ref="A147:B147"/>
    <mergeCell ref="E147:F147"/>
    <mergeCell ref="A122:G122"/>
    <mergeCell ref="A39:G39"/>
    <mergeCell ref="A50:G50"/>
    <mergeCell ref="A73:G73"/>
    <mergeCell ref="A81:G81"/>
    <mergeCell ref="A105:G105"/>
    <mergeCell ref="A112:G112"/>
    <mergeCell ref="A113:G113"/>
    <mergeCell ref="D116:G116"/>
    <mergeCell ref="D117:G117"/>
    <mergeCell ref="D118:G118"/>
    <mergeCell ref="A121:G121"/>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7: Backup for Stream Bank Total Nitrogen L'ding&amp;C&amp;"Arial,Regular"&amp;9Page &amp;P of &amp;N&amp;R&amp;"Arial,Regular"&amp;9Christina Basin Loading Rates Tool (May 12, 2017)</oddFooter>
  </headerFooter>
  <rowBreaks count="3" manualBreakCount="3">
    <brk id="42" max="16383" man="1"/>
    <brk id="88"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5"/>
  <sheetViews>
    <sheetView view="pageLayout" topLeftCell="A139" zoomScaleNormal="100" zoomScaleSheetLayoutView="80" workbookViewId="0">
      <selection activeCell="A8" sqref="A8:G8"/>
    </sheetView>
  </sheetViews>
  <sheetFormatPr defaultColWidth="8.85546875" defaultRowHeight="12.75" x14ac:dyDescent="0.2"/>
  <cols>
    <col min="1" max="1" width="2.7109375" style="1" customWidth="1"/>
    <col min="2" max="2" width="25" style="1" customWidth="1"/>
    <col min="3" max="3" width="16.28515625" style="1" customWidth="1"/>
    <col min="4" max="4" width="9.85546875" style="1" customWidth="1"/>
    <col min="5" max="5" width="9.42578125" style="1" customWidth="1"/>
    <col min="6" max="6" width="9.85546875" style="1" customWidth="1"/>
    <col min="7" max="7" width="16.5703125" style="1" customWidth="1"/>
    <col min="8" max="8" width="5" style="1" customWidth="1"/>
    <col min="9" max="9" width="10.5703125" style="1" customWidth="1"/>
    <col min="10" max="10" width="8.85546875" style="1"/>
    <col min="11" max="11" width="10.140625" style="1" bestFit="1" customWidth="1"/>
    <col min="12" max="12" width="3.42578125" style="1" customWidth="1"/>
    <col min="13" max="16384" width="8.85546875" style="1"/>
  </cols>
  <sheetData>
    <row r="1" spans="1:11" ht="14.45" customHeight="1" x14ac:dyDescent="0.25">
      <c r="A1" s="331" t="s">
        <v>253</v>
      </c>
      <c r="B1" s="53"/>
    </row>
    <row r="2" spans="1:11" ht="6" customHeight="1" x14ac:dyDescent="0.25"/>
    <row r="3" spans="1:11" ht="14.45" customHeight="1" x14ac:dyDescent="0.25">
      <c r="A3" s="1" t="str">
        <f>CONCATENATE("Watershed: ",'Christina Basin MapShed Output'!$B$3)</f>
        <v>Watershed: Red Clay</v>
      </c>
    </row>
    <row r="4" spans="1:11" ht="6" customHeight="1" x14ac:dyDescent="0.25"/>
    <row r="5" spans="1:11" ht="14.45" customHeight="1" x14ac:dyDescent="0.25">
      <c r="A5" s="1" t="str">
        <f>CONCATENATE("Year: ",'Christina Basin MapShed Output'!$C$16)</f>
        <v>Year: 2012</v>
      </c>
    </row>
    <row r="6" spans="1:11" ht="11.45" customHeight="1" x14ac:dyDescent="0.25"/>
    <row r="7" spans="1:11" ht="18.75" customHeight="1" x14ac:dyDescent="0.3">
      <c r="A7" s="412" t="s">
        <v>304</v>
      </c>
      <c r="B7" s="412"/>
      <c r="C7" s="412"/>
      <c r="D7" s="412"/>
      <c r="E7" s="412"/>
      <c r="F7" s="412"/>
    </row>
    <row r="8" spans="1:11" ht="94.9" customHeight="1" x14ac:dyDescent="0.2">
      <c r="A8" s="407" t="s">
        <v>338</v>
      </c>
      <c r="B8" s="407"/>
      <c r="C8" s="407"/>
      <c r="D8" s="407"/>
      <c r="E8" s="407"/>
      <c r="F8" s="407"/>
      <c r="G8" s="407"/>
    </row>
    <row r="9" spans="1:11" ht="8.4499999999999993" customHeight="1" x14ac:dyDescent="0.25"/>
    <row r="10" spans="1:11" ht="8.4499999999999993" customHeight="1" x14ac:dyDescent="0.25"/>
    <row r="11" spans="1:11" ht="27.6" customHeight="1" x14ac:dyDescent="0.25">
      <c r="A11" s="407" t="s">
        <v>264</v>
      </c>
      <c r="B11" s="407"/>
      <c r="C11" s="407"/>
      <c r="D11" s="407"/>
      <c r="E11" s="407"/>
      <c r="F11" s="407"/>
      <c r="G11" s="407"/>
    </row>
    <row r="12" spans="1:11" ht="6" customHeight="1" x14ac:dyDescent="0.25"/>
    <row r="13" spans="1:11" ht="13.15" x14ac:dyDescent="0.25">
      <c r="B13" s="58" t="s">
        <v>0</v>
      </c>
      <c r="C13" s="59" t="s">
        <v>51</v>
      </c>
      <c r="E13" s="354"/>
      <c r="F13" s="354"/>
      <c r="G13" s="354"/>
      <c r="K13" s="76"/>
    </row>
    <row r="14" spans="1:11" ht="13.15" customHeight="1" x14ac:dyDescent="0.2">
      <c r="A14" s="435" t="s">
        <v>39</v>
      </c>
      <c r="B14" s="377" t="s">
        <v>73</v>
      </c>
      <c r="C14" s="378">
        <f>+'Christina Basin MapShed Output'!C22</f>
        <v>84</v>
      </c>
    </row>
    <row r="15" spans="1:11" ht="13.15" customHeight="1" x14ac:dyDescent="0.2">
      <c r="A15" s="436"/>
      <c r="B15" s="379" t="s">
        <v>10</v>
      </c>
      <c r="C15" s="380">
        <f>+'Christina Basin MapShed Output'!C23</f>
        <v>9449.2999999999993</v>
      </c>
    </row>
    <row r="16" spans="1:11" ht="13.15" customHeight="1" x14ac:dyDescent="0.2">
      <c r="A16" s="436"/>
      <c r="B16" s="381" t="s">
        <v>11</v>
      </c>
      <c r="C16" s="382">
        <f>+'Christina Basin MapShed Output'!C24</f>
        <v>7665.2</v>
      </c>
    </row>
    <row r="17" spans="1:3" ht="13.15" customHeight="1" x14ac:dyDescent="0.2">
      <c r="A17" s="436"/>
      <c r="B17" s="379" t="s">
        <v>12</v>
      </c>
      <c r="C17" s="380">
        <f>+'Christina Basin MapShed Output'!C25</f>
        <v>61.8</v>
      </c>
    </row>
    <row r="18" spans="1:3" ht="13.15" customHeight="1" x14ac:dyDescent="0.2">
      <c r="A18" s="436"/>
      <c r="B18" s="381" t="s">
        <v>13</v>
      </c>
      <c r="C18" s="382">
        <f>+'Christina Basin MapShed Output'!C26</f>
        <v>872.3</v>
      </c>
    </row>
    <row r="19" spans="1:3" ht="13.15" customHeight="1" x14ac:dyDescent="0.2">
      <c r="A19" s="436"/>
      <c r="B19" s="379" t="s">
        <v>14</v>
      </c>
      <c r="C19" s="380">
        <f>+'Christina Basin MapShed Output'!C27</f>
        <v>1193.5</v>
      </c>
    </row>
    <row r="20" spans="1:3" ht="13.15" customHeight="1" x14ac:dyDescent="0.2">
      <c r="A20" s="436"/>
      <c r="B20" s="381" t="s">
        <v>15</v>
      </c>
      <c r="C20" s="382">
        <f>+'Christina Basin MapShed Output'!C28</f>
        <v>108.7</v>
      </c>
    </row>
    <row r="21" spans="1:3" ht="13.15" customHeight="1" x14ac:dyDescent="0.2">
      <c r="A21" s="436"/>
      <c r="B21" s="379" t="s">
        <v>16</v>
      </c>
      <c r="C21" s="380">
        <f>+'Christina Basin MapShed Output'!C29</f>
        <v>0</v>
      </c>
    </row>
    <row r="22" spans="1:3" ht="13.15" customHeight="1" x14ac:dyDescent="0.2">
      <c r="A22" s="436"/>
      <c r="B22" s="381" t="s">
        <v>17</v>
      </c>
      <c r="C22" s="382">
        <f>+'Christina Basin MapShed Output'!C30</f>
        <v>0</v>
      </c>
    </row>
    <row r="23" spans="1:3" ht="13.15" customHeight="1" x14ac:dyDescent="0.2">
      <c r="A23" s="436"/>
      <c r="B23" s="379" t="s">
        <v>18</v>
      </c>
      <c r="C23" s="380">
        <f>+'Christina Basin MapShed Output'!C31</f>
        <v>0</v>
      </c>
    </row>
    <row r="24" spans="1:3" ht="13.15" customHeight="1" x14ac:dyDescent="0.2">
      <c r="A24" s="436"/>
      <c r="B24" s="381" t="s">
        <v>19</v>
      </c>
      <c r="C24" s="382">
        <f>+'Christina Basin MapShed Output'!C32</f>
        <v>467</v>
      </c>
    </row>
    <row r="25" spans="1:3" ht="13.15" customHeight="1" x14ac:dyDescent="0.2">
      <c r="A25" s="436"/>
      <c r="B25" s="379" t="s">
        <v>20</v>
      </c>
      <c r="C25" s="380">
        <f>+'Christina Basin MapShed Output'!C33</f>
        <v>647.4</v>
      </c>
    </row>
    <row r="26" spans="1:3" ht="13.15" customHeight="1" x14ac:dyDescent="0.2">
      <c r="A26" s="436"/>
      <c r="B26" s="381" t="s">
        <v>21</v>
      </c>
      <c r="C26" s="382">
        <f>+'Christina Basin MapShed Output'!C34</f>
        <v>1648.2</v>
      </c>
    </row>
    <row r="27" spans="1:3" ht="13.15" customHeight="1" x14ac:dyDescent="0.2">
      <c r="A27" s="436"/>
      <c r="B27" s="379" t="s">
        <v>22</v>
      </c>
      <c r="C27" s="380">
        <f>+'Christina Basin MapShed Output'!C35</f>
        <v>11848.7</v>
      </c>
    </row>
    <row r="28" spans="1:3" ht="13.15" customHeight="1" x14ac:dyDescent="0.2">
      <c r="A28" s="436"/>
      <c r="B28" s="381" t="s">
        <v>23</v>
      </c>
      <c r="C28" s="382">
        <f>+'Christina Basin MapShed Output'!C36</f>
        <v>291.60000000000002</v>
      </c>
    </row>
    <row r="29" spans="1:3" ht="13.15" customHeight="1" x14ac:dyDescent="0.2">
      <c r="A29" s="437"/>
      <c r="B29" s="383" t="s">
        <v>24</v>
      </c>
      <c r="C29" s="384">
        <f>+'Christina Basin MapShed Output'!C37</f>
        <v>86.5</v>
      </c>
    </row>
    <row r="30" spans="1:3" ht="6" customHeight="1" x14ac:dyDescent="0.2">
      <c r="C30" s="263"/>
    </row>
    <row r="31" spans="1:3" ht="15.6" customHeight="1" x14ac:dyDescent="0.2">
      <c r="B31" s="39" t="s">
        <v>254</v>
      </c>
      <c r="C31" s="264">
        <f>SUM(C14:C30)</f>
        <v>34424.200000000004</v>
      </c>
    </row>
    <row r="32" spans="1:3" ht="16.899999999999999" customHeight="1" x14ac:dyDescent="0.2"/>
    <row r="33" spans="1:7" x14ac:dyDescent="0.2">
      <c r="A33" s="407" t="s">
        <v>282</v>
      </c>
      <c r="B33" s="407"/>
      <c r="C33" s="407"/>
      <c r="D33" s="407"/>
      <c r="E33" s="407"/>
      <c r="F33" s="407"/>
      <c r="G33" s="407"/>
    </row>
    <row r="34" spans="1:7" ht="6" customHeight="1" x14ac:dyDescent="0.2">
      <c r="B34" s="43"/>
      <c r="C34" s="44"/>
      <c r="D34" s="41"/>
    </row>
    <row r="35" spans="1:7" x14ac:dyDescent="0.2">
      <c r="B35" s="46"/>
      <c r="C35" s="54" t="s">
        <v>283</v>
      </c>
      <c r="D35" s="54"/>
    </row>
    <row r="36" spans="1:7" x14ac:dyDescent="0.2">
      <c r="B36" s="56" t="s">
        <v>28</v>
      </c>
      <c r="C36" s="56">
        <f>+'Christina Basin MapShed Output'!J40</f>
        <v>3218.75</v>
      </c>
      <c r="D36" s="56" t="s">
        <v>50</v>
      </c>
    </row>
    <row r="37" spans="1:7" ht="6" customHeight="1" x14ac:dyDescent="0.2">
      <c r="B37" s="43"/>
      <c r="D37" s="41"/>
    </row>
    <row r="38" spans="1:7" ht="16.899999999999999" customHeight="1" x14ac:dyDescent="0.2">
      <c r="B38" s="43"/>
      <c r="C38" s="44"/>
      <c r="D38" s="41"/>
    </row>
    <row r="39" spans="1:7" x14ac:dyDescent="0.2">
      <c r="A39" s="407" t="str">
        <f>CONCATENATE("Step 3. Sum the total acres in the ", 'Christina Basin MapShed Output'!C15," watershed.")</f>
        <v>Step 3. Sum the total acres in the Red Clay watershed.</v>
      </c>
      <c r="B39" s="407"/>
      <c r="C39" s="407"/>
      <c r="D39" s="407"/>
      <c r="E39" s="407"/>
      <c r="F39" s="407"/>
      <c r="G39" s="407"/>
    </row>
    <row r="40" spans="1:7" ht="6" customHeight="1" x14ac:dyDescent="0.2">
      <c r="A40" s="353"/>
      <c r="B40" s="353"/>
      <c r="C40" s="353"/>
      <c r="D40" s="353"/>
      <c r="E40" s="353"/>
      <c r="F40" s="353"/>
      <c r="G40" s="353"/>
    </row>
    <row r="41" spans="1:7" x14ac:dyDescent="0.2">
      <c r="B41" s="60" t="s">
        <v>214</v>
      </c>
      <c r="C41" s="104">
        <f>SUM(C14:C30)</f>
        <v>34424.200000000004</v>
      </c>
      <c r="D41" s="57" t="s">
        <v>32</v>
      </c>
    </row>
    <row r="42" spans="1:7" ht="6" customHeight="1" x14ac:dyDescent="0.2">
      <c r="B42" s="43"/>
      <c r="C42" s="44"/>
      <c r="D42" s="41"/>
    </row>
    <row r="43" spans="1:7" ht="4.1500000000000004" customHeight="1" x14ac:dyDescent="0.2">
      <c r="B43" s="43"/>
      <c r="C43" s="44"/>
      <c r="D43" s="41"/>
    </row>
    <row r="44" spans="1:7" ht="14.45" customHeight="1" x14ac:dyDescent="0.2">
      <c r="A44" s="1" t="s">
        <v>295</v>
      </c>
      <c r="B44" s="43"/>
      <c r="C44" s="44"/>
      <c r="D44" s="41"/>
    </row>
    <row r="45" spans="1:7" ht="6" customHeight="1" x14ac:dyDescent="0.2">
      <c r="B45" s="43"/>
      <c r="C45" s="44"/>
      <c r="D45" s="41"/>
    </row>
    <row r="46" spans="1:7" ht="13.9" customHeight="1" x14ac:dyDescent="0.2">
      <c r="A46" s="1" t="str">
        <f>CONCATENATE("Watershed: ",'Christina Basin MapShed Output'!$B$3)</f>
        <v>Watershed: Red Clay</v>
      </c>
      <c r="B46" s="43"/>
      <c r="C46" s="44"/>
      <c r="D46" s="41"/>
    </row>
    <row r="47" spans="1:7" ht="6" customHeight="1" x14ac:dyDescent="0.2">
      <c r="B47" s="43"/>
      <c r="C47" s="44"/>
      <c r="D47" s="41"/>
    </row>
    <row r="48" spans="1:7" ht="13.9" customHeight="1" x14ac:dyDescent="0.2">
      <c r="A48" s="1" t="str">
        <f>CONCATENATE("Year: ",'Christina Basin MapShed Output'!$C$16)</f>
        <v>Year: 2012</v>
      </c>
      <c r="B48" s="43"/>
      <c r="C48" s="44"/>
      <c r="D48" s="41"/>
    </row>
    <row r="49" spans="1:7" ht="10.9" customHeight="1" x14ac:dyDescent="0.2">
      <c r="B49" s="43"/>
      <c r="C49" s="44"/>
      <c r="D49" s="41"/>
    </row>
    <row r="50" spans="1:7" ht="51" customHeight="1" x14ac:dyDescent="0.2">
      <c r="A50" s="407" t="s">
        <v>328</v>
      </c>
      <c r="B50" s="407"/>
      <c r="C50" s="407"/>
      <c r="D50" s="407"/>
      <c r="E50" s="407"/>
      <c r="F50" s="407"/>
      <c r="G50" s="407"/>
    </row>
    <row r="51" spans="1:7" ht="6" customHeight="1" x14ac:dyDescent="0.2">
      <c r="C51" s="42"/>
    </row>
    <row r="52" spans="1:7" x14ac:dyDescent="0.2">
      <c r="B52" s="45" t="s">
        <v>70</v>
      </c>
      <c r="C52" s="67" t="s">
        <v>32</v>
      </c>
      <c r="D52" s="67" t="s">
        <v>71</v>
      </c>
    </row>
    <row r="53" spans="1:7" x14ac:dyDescent="0.2">
      <c r="B53" s="232" t="s">
        <v>52</v>
      </c>
      <c r="C53" s="276">
        <f>+C24+C27</f>
        <v>12315.7</v>
      </c>
      <c r="D53" s="272">
        <f>+C53/C$56</f>
        <v>0.82162728328018464</v>
      </c>
      <c r="E53" s="72" t="s">
        <v>88</v>
      </c>
      <c r="F53" s="56"/>
      <c r="G53" s="38"/>
    </row>
    <row r="54" spans="1:7" x14ac:dyDescent="0.2">
      <c r="B54" s="265" t="s">
        <v>53</v>
      </c>
      <c r="C54" s="277">
        <f>+C25+C28</f>
        <v>939</v>
      </c>
      <c r="D54" s="273">
        <f>+C54/C$56</f>
        <v>6.2644268616488974E-2</v>
      </c>
      <c r="E54" s="74" t="s">
        <v>89</v>
      </c>
      <c r="F54" s="55"/>
      <c r="G54" s="37"/>
    </row>
    <row r="55" spans="1:7" ht="13.5" thickBot="1" x14ac:dyDescent="0.25">
      <c r="B55" s="266" t="s">
        <v>54</v>
      </c>
      <c r="C55" s="280">
        <f>+C26+C29</f>
        <v>1734.7</v>
      </c>
      <c r="D55" s="293">
        <f>+C55/C$56</f>
        <v>0.11572844810332635</v>
      </c>
      <c r="E55" s="72" t="s">
        <v>90</v>
      </c>
      <c r="F55" s="56"/>
      <c r="G55" s="38"/>
    </row>
    <row r="56" spans="1:7" x14ac:dyDescent="0.2">
      <c r="B56" s="57" t="s">
        <v>55</v>
      </c>
      <c r="C56" s="292">
        <f>+C53+C54+C55</f>
        <v>14989.400000000001</v>
      </c>
      <c r="D56" s="294">
        <f>+C56/C$56</f>
        <v>1</v>
      </c>
      <c r="E56" s="49" t="s">
        <v>91</v>
      </c>
    </row>
    <row r="57" spans="1:7" ht="6.6" customHeight="1" x14ac:dyDescent="0.2"/>
    <row r="59" spans="1:7" x14ac:dyDescent="0.2">
      <c r="A59" s="1" t="s">
        <v>292</v>
      </c>
    </row>
    <row r="60" spans="1:7" x14ac:dyDescent="0.2">
      <c r="B60" s="1" t="s">
        <v>302</v>
      </c>
    </row>
    <row r="61" spans="1:7" x14ac:dyDescent="0.2">
      <c r="B61" s="1" t="s">
        <v>303</v>
      </c>
    </row>
    <row r="62" spans="1:7" ht="7.9" customHeight="1" x14ac:dyDescent="0.2"/>
    <row r="63" spans="1:7" x14ac:dyDescent="0.2">
      <c r="B63" s="1" t="s">
        <v>291</v>
      </c>
      <c r="C63" s="106">
        <f>C36</f>
        <v>3218.75</v>
      </c>
      <c r="D63" s="1" t="s">
        <v>50</v>
      </c>
      <c r="E63" s="49" t="s">
        <v>66</v>
      </c>
    </row>
    <row r="64" spans="1:7" x14ac:dyDescent="0.2">
      <c r="B64" s="1" t="s">
        <v>59</v>
      </c>
      <c r="C64" s="105">
        <f>+C56</f>
        <v>14989.400000000001</v>
      </c>
      <c r="D64" s="1" t="s">
        <v>32</v>
      </c>
      <c r="E64" s="49" t="s">
        <v>65</v>
      </c>
    </row>
    <row r="65" spans="1:7" ht="13.15" customHeight="1" x14ac:dyDescent="0.2">
      <c r="B65" s="1" t="s">
        <v>214</v>
      </c>
      <c r="C65" s="105">
        <f>+C41</f>
        <v>34424.200000000004</v>
      </c>
      <c r="D65" s="1" t="s">
        <v>32</v>
      </c>
      <c r="E65" s="49" t="s">
        <v>67</v>
      </c>
    </row>
    <row r="66" spans="1:7" ht="25.15" customHeight="1" x14ac:dyDescent="0.2">
      <c r="B66" s="267" t="s">
        <v>105</v>
      </c>
      <c r="C66" s="48">
        <f>+C64/C65</f>
        <v>0.43543205070851321</v>
      </c>
      <c r="D66" s="49" t="s">
        <v>219</v>
      </c>
      <c r="E66" s="1" t="str">
        <f>CONCATENATE("[ ",ROUND(C64,2)," acres / ",ROUND(C65,2)," acres ]")</f>
        <v>[ 14989.4 acres / 34424.2 acres ]</v>
      </c>
    </row>
    <row r="67" spans="1:7" ht="7.15" customHeight="1" x14ac:dyDescent="0.2"/>
    <row r="68" spans="1:7" ht="42" customHeight="1" x14ac:dyDescent="0.2">
      <c r="A68" s="62"/>
      <c r="B68" s="10" t="s">
        <v>293</v>
      </c>
      <c r="C68" s="108">
        <f>+C63*C66*0.4</f>
        <v>560.61876528721075</v>
      </c>
      <c r="D68" s="1" t="s">
        <v>220</v>
      </c>
      <c r="E68" s="1" t="str">
        <f>CONCATENATE("[ 40% x ",ROUND(C63,2)," pounds x ",ROUND(C66*100,0),"% ]")</f>
        <v>[ 40% x 3218.75 pounds x 44% ]</v>
      </c>
    </row>
    <row r="69" spans="1:7" ht="26.25" thickBot="1" x14ac:dyDescent="0.25">
      <c r="A69" s="62"/>
      <c r="B69" s="268" t="s">
        <v>294</v>
      </c>
      <c r="C69" s="269">
        <f>+C63*0.6</f>
        <v>1931.25</v>
      </c>
      <c r="D69" s="270" t="s">
        <v>220</v>
      </c>
      <c r="E69" s="1" t="str">
        <f>CONCATENATE("[ 60% x ",ROUND(C63,2)," pounds ]")</f>
        <v>[ 60% x 3218.75 pounds ]</v>
      </c>
    </row>
    <row r="70" spans="1:7" ht="28.9" customHeight="1" x14ac:dyDescent="0.2">
      <c r="B70" s="271" t="s">
        <v>101</v>
      </c>
      <c r="C70" s="109">
        <f>+C69+C68</f>
        <v>2491.8687652872109</v>
      </c>
      <c r="D70" s="63" t="s">
        <v>50</v>
      </c>
    </row>
    <row r="71" spans="1:7" ht="6.6" customHeight="1" x14ac:dyDescent="0.2"/>
    <row r="72" spans="1:7" ht="8.4499999999999993" customHeight="1" x14ac:dyDescent="0.2"/>
    <row r="73" spans="1:7" ht="42" customHeight="1" x14ac:dyDescent="0.2">
      <c r="A73" s="407" t="s">
        <v>284</v>
      </c>
      <c r="B73" s="407"/>
      <c r="C73" s="407"/>
      <c r="D73" s="407"/>
      <c r="E73" s="407"/>
      <c r="F73" s="407"/>
      <c r="G73" s="407"/>
    </row>
    <row r="74" spans="1:7" ht="6" customHeight="1" x14ac:dyDescent="0.2"/>
    <row r="75" spans="1:7" x14ac:dyDescent="0.2">
      <c r="B75" s="39" t="s">
        <v>221</v>
      </c>
    </row>
    <row r="76" spans="1:7" ht="12.75" customHeight="1" x14ac:dyDescent="0.2">
      <c r="B76" s="232" t="s">
        <v>52</v>
      </c>
      <c r="C76" s="274">
        <v>0.15</v>
      </c>
    </row>
    <row r="77" spans="1:7" x14ac:dyDescent="0.2">
      <c r="B77" s="265" t="s">
        <v>53</v>
      </c>
      <c r="C77" s="275">
        <v>0.52</v>
      </c>
    </row>
    <row r="78" spans="1:7" x14ac:dyDescent="0.2">
      <c r="B78" s="232" t="s">
        <v>54</v>
      </c>
      <c r="C78" s="274">
        <v>0.87</v>
      </c>
    </row>
    <row r="79" spans="1:7" ht="6" customHeight="1" x14ac:dyDescent="0.2"/>
    <row r="80" spans="1:7" ht="11.45" customHeight="1" x14ac:dyDescent="0.2"/>
    <row r="81" spans="1:7" ht="24.6" customHeight="1" x14ac:dyDescent="0.2">
      <c r="A81" s="407" t="s">
        <v>225</v>
      </c>
      <c r="B81" s="407"/>
      <c r="C81" s="407"/>
      <c r="D81" s="407"/>
      <c r="E81" s="407"/>
      <c r="F81" s="407"/>
      <c r="G81" s="407"/>
    </row>
    <row r="82" spans="1:7" ht="6" customHeight="1" x14ac:dyDescent="0.2"/>
    <row r="83" spans="1:7" x14ac:dyDescent="0.2">
      <c r="B83" s="39" t="s">
        <v>56</v>
      </c>
    </row>
    <row r="84" spans="1:7" x14ac:dyDescent="0.2">
      <c r="B84" s="103" t="s">
        <v>52</v>
      </c>
      <c r="C84" s="276">
        <f>+C53*C76</f>
        <v>1847.355</v>
      </c>
      <c r="D84" s="56" t="s">
        <v>223</v>
      </c>
      <c r="E84" s="295" t="str">
        <f>CONCATENATE(" [ ",ROUND(C53,2)," acres x ",C76*100," percent ]")</f>
        <v xml:space="preserve"> [ 12315.7 acres x 15 percent ]</v>
      </c>
      <c r="F84" s="56"/>
      <c r="G84" s="38"/>
    </row>
    <row r="85" spans="1:7" x14ac:dyDescent="0.2">
      <c r="B85" s="75" t="s">
        <v>53</v>
      </c>
      <c r="C85" s="277">
        <f>+C54*C77</f>
        <v>488.28000000000003</v>
      </c>
      <c r="D85" s="55" t="s">
        <v>223</v>
      </c>
      <c r="E85" s="296" t="str">
        <f>CONCATENATE(" [ ",ROUND(C54,2)," acres x ",C77*100," percent ]")</f>
        <v xml:space="preserve"> [ 939 acres x 52 percent ]</v>
      </c>
      <c r="F85" s="55"/>
      <c r="G85" s="37"/>
    </row>
    <row r="86" spans="1:7" ht="13.5" thickBot="1" x14ac:dyDescent="0.25">
      <c r="B86" s="279" t="s">
        <v>54</v>
      </c>
      <c r="C86" s="280">
        <f>+C55*C78</f>
        <v>1509.1890000000001</v>
      </c>
      <c r="D86" s="297" t="s">
        <v>223</v>
      </c>
      <c r="E86" s="295" t="str">
        <f>CONCATENATE(" [ ",ROUND(C55,2)," acres x ",C78*100," percent ]")</f>
        <v xml:space="preserve"> [ 1734.7 acres x 87 percent ]</v>
      </c>
      <c r="F86" s="56"/>
      <c r="G86" s="38"/>
    </row>
    <row r="87" spans="1:7" ht="28.9" customHeight="1" x14ac:dyDescent="0.2">
      <c r="B87" s="13" t="s">
        <v>224</v>
      </c>
      <c r="C87" s="278">
        <f>+C84+C85+C86</f>
        <v>3844.8240000000005</v>
      </c>
      <c r="D87" s="1" t="s">
        <v>32</v>
      </c>
    </row>
    <row r="88" spans="1:7" ht="6" customHeight="1" x14ac:dyDescent="0.2"/>
    <row r="90" spans="1:7" x14ac:dyDescent="0.2">
      <c r="A90" s="1" t="s">
        <v>296</v>
      </c>
    </row>
    <row r="91" spans="1:7" ht="6" customHeight="1" x14ac:dyDescent="0.2"/>
    <row r="92" spans="1:7" x14ac:dyDescent="0.2">
      <c r="A92" s="1" t="str">
        <f>CONCATENATE("Watershed: ",'Christina Basin MapShed Output'!$B$3)</f>
        <v>Watershed: Red Clay</v>
      </c>
    </row>
    <row r="93" spans="1:7" ht="6" customHeight="1" x14ac:dyDescent="0.2"/>
    <row r="94" spans="1:7" x14ac:dyDescent="0.2">
      <c r="A94" s="1" t="str">
        <f>CONCATENATE("Year: ",'Christina Basin MapShed Output'!$C$16)</f>
        <v>Year: 2012</v>
      </c>
    </row>
    <row r="96" spans="1:7" x14ac:dyDescent="0.2">
      <c r="A96" s="1" t="s">
        <v>226</v>
      </c>
    </row>
    <row r="97" spans="1:7" ht="6" customHeight="1" x14ac:dyDescent="0.2"/>
    <row r="98" spans="1:7" x14ac:dyDescent="0.2">
      <c r="B98" s="39" t="s">
        <v>57</v>
      </c>
    </row>
    <row r="99" spans="1:7" x14ac:dyDescent="0.2">
      <c r="B99" s="232" t="s">
        <v>52</v>
      </c>
      <c r="C99" s="274">
        <f>+C84/(C$84+C$85+C$86)</f>
        <v>0.48047843022203351</v>
      </c>
      <c r="D99" s="281" t="s">
        <v>227</v>
      </c>
      <c r="E99" s="295" t="str">
        <f>CONCATENATE(" [ ",ROUND(C84,2)," acres / ",ROUND(C87,2)," acres ]")</f>
        <v xml:space="preserve"> [ 1847.36 acres / 3844.82 acres ]</v>
      </c>
      <c r="F99" s="56"/>
      <c r="G99" s="38"/>
    </row>
    <row r="100" spans="1:7" x14ac:dyDescent="0.2">
      <c r="B100" s="265" t="s">
        <v>53</v>
      </c>
      <c r="C100" s="275">
        <f>+C85/(C$84+C$85+C$86)</f>
        <v>0.12699671038258187</v>
      </c>
      <c r="D100" s="282" t="s">
        <v>227</v>
      </c>
      <c r="E100" s="296" t="str">
        <f>CONCATENATE(" [ ",ROUND(C85,2)," acres / ",ROUND(C87,2)," acres ]")</f>
        <v xml:space="preserve"> [ 488.28 acres / 3844.82 acres ]</v>
      </c>
      <c r="F100" s="55"/>
      <c r="G100" s="37"/>
    </row>
    <row r="101" spans="1:7" ht="13.5" thickBot="1" x14ac:dyDescent="0.25">
      <c r="B101" s="266" t="s">
        <v>54</v>
      </c>
      <c r="C101" s="298">
        <f>+C86/(C$84+C$85+C$86)</f>
        <v>0.39252485939538451</v>
      </c>
      <c r="D101" s="281" t="s">
        <v>227</v>
      </c>
      <c r="E101" s="295" t="str">
        <f>CONCATENATE(" [ ",ROUND(C86,2)," acres / ",ROUND(C87,2)," acres ]")</f>
        <v xml:space="preserve"> [ 1509.19 acres / 3844.82 acres ]</v>
      </c>
      <c r="F101" s="56"/>
      <c r="G101" s="38"/>
    </row>
    <row r="102" spans="1:7" x14ac:dyDescent="0.2">
      <c r="B102" s="1" t="s">
        <v>55</v>
      </c>
      <c r="C102" s="299">
        <f>+C99+C100+C101</f>
        <v>0.99999999999999989</v>
      </c>
    </row>
    <row r="103" spans="1:7" ht="7.15" customHeight="1" x14ac:dyDescent="0.2"/>
    <row r="104" spans="1:7" ht="13.15" customHeight="1" x14ac:dyDescent="0.2"/>
    <row r="105" spans="1:7" ht="24" customHeight="1" x14ac:dyDescent="0.2">
      <c r="A105" s="407" t="s">
        <v>331</v>
      </c>
      <c r="B105" s="407"/>
      <c r="C105" s="407"/>
      <c r="D105" s="407"/>
      <c r="E105" s="407"/>
      <c r="F105" s="407"/>
      <c r="G105" s="407"/>
    </row>
    <row r="106" spans="1:7" ht="6" customHeight="1" x14ac:dyDescent="0.2"/>
    <row r="107" spans="1:7" ht="25.5" customHeight="1" x14ac:dyDescent="0.2">
      <c r="B107" s="347" t="s">
        <v>101</v>
      </c>
      <c r="C107" s="107">
        <f>+C70</f>
        <v>2491.8687652872109</v>
      </c>
      <c r="D107" s="1" t="s">
        <v>228</v>
      </c>
      <c r="E107" s="49" t="s">
        <v>92</v>
      </c>
    </row>
    <row r="108" spans="1:7" ht="25.5" customHeight="1" x14ac:dyDescent="0.2">
      <c r="B108" s="353" t="s">
        <v>68</v>
      </c>
      <c r="C108" s="108">
        <f>+C107*0.6</f>
        <v>1495.1212591723265</v>
      </c>
      <c r="D108" s="1" t="s">
        <v>228</v>
      </c>
      <c r="E108" s="1" t="str">
        <f xml:space="preserve"> CONCATENATE(" [ ",ROUND(C$107,2)," pounds x 60% ]")</f>
        <v xml:space="preserve"> [ 2491.87 pounds x 60% ]</v>
      </c>
    </row>
    <row r="109" spans="1:7" ht="25.5" customHeight="1" x14ac:dyDescent="0.2">
      <c r="B109" s="353" t="s">
        <v>69</v>
      </c>
      <c r="C109" s="108">
        <f>+C107*0.4</f>
        <v>996.74750611488435</v>
      </c>
      <c r="D109" s="1" t="s">
        <v>228</v>
      </c>
      <c r="E109" s="1" t="str">
        <f xml:space="preserve"> CONCATENATE(" [ ",ROUND(C$107,2)," pounds x 40% ]")</f>
        <v xml:space="preserve"> [ 2491.87 pounds x 40% ]</v>
      </c>
    </row>
    <row r="110" spans="1:7" ht="6" customHeight="1" x14ac:dyDescent="0.2"/>
    <row r="111" spans="1:7" ht="13.15" customHeight="1" x14ac:dyDescent="0.2"/>
    <row r="112" spans="1:7" ht="13.9" customHeight="1" x14ac:dyDescent="0.2">
      <c r="A112" s="407" t="s">
        <v>258</v>
      </c>
      <c r="B112" s="407"/>
      <c r="C112" s="407"/>
      <c r="D112" s="407"/>
      <c r="E112" s="407"/>
      <c r="F112" s="407"/>
      <c r="G112" s="407"/>
    </row>
    <row r="113" spans="1:7" ht="15" customHeight="1" x14ac:dyDescent="0.2">
      <c r="A113" s="407" t="str">
        <f>CONCATENATE("multiplying the 'Percent of Total Impervious Surfaces' (Step 8) by ",ROUND(C108,2)," pounds (calculated in Step 9):")</f>
        <v>multiplying the 'Percent of Total Impervious Surfaces' (Step 8) by 1495.12 pounds (calculated in Step 9):</v>
      </c>
      <c r="B113" s="407"/>
      <c r="C113" s="407"/>
      <c r="D113" s="407"/>
      <c r="E113" s="407"/>
      <c r="F113" s="407"/>
      <c r="G113" s="407"/>
    </row>
    <row r="114" spans="1:7" ht="6" customHeight="1" x14ac:dyDescent="0.2">
      <c r="A114" s="353"/>
      <c r="B114" s="353"/>
      <c r="C114" s="353"/>
      <c r="D114" s="353"/>
      <c r="E114" s="353"/>
      <c r="F114" s="353"/>
      <c r="G114" s="353"/>
    </row>
    <row r="115" spans="1:7" ht="16.149999999999999" customHeight="1" x14ac:dyDescent="0.2">
      <c r="B115" s="39" t="s">
        <v>285</v>
      </c>
      <c r="C115" s="13"/>
      <c r="D115" s="13"/>
      <c r="E115" s="13"/>
      <c r="F115" s="10"/>
    </row>
    <row r="116" spans="1:7" x14ac:dyDescent="0.2">
      <c r="B116" s="232" t="s">
        <v>52</v>
      </c>
      <c r="C116" s="89">
        <f>C99*C$108</f>
        <v>718.37351559870956</v>
      </c>
      <c r="D116" s="420" t="str">
        <f>CONCATENATE("=   [ ",ROUND(C99*100,0)," % x ",ROUND(C$108,2)," pounds ]")</f>
        <v>=   [ 48 % x 1495.12 pounds ]</v>
      </c>
      <c r="E116" s="421"/>
      <c r="F116" s="421"/>
      <c r="G116" s="421"/>
    </row>
    <row r="117" spans="1:7" x14ac:dyDescent="0.2">
      <c r="B117" s="265" t="s">
        <v>53</v>
      </c>
      <c r="C117" s="90">
        <f>C100*C$108</f>
        <v>189.87548153794907</v>
      </c>
      <c r="D117" s="422" t="str">
        <f>CONCATENATE("=   [ ",ROUND(C100*100,0)," % x ",ROUND(C$108,2)," pounds ]")</f>
        <v>=   [ 13 % x 1495.12 pounds ]</v>
      </c>
      <c r="E117" s="423"/>
      <c r="F117" s="423"/>
      <c r="G117" s="423"/>
    </row>
    <row r="118" spans="1:7" x14ac:dyDescent="0.2">
      <c r="B118" s="232" t="s">
        <v>54</v>
      </c>
      <c r="C118" s="89">
        <f>C101*C$108</f>
        <v>586.87226203566775</v>
      </c>
      <c r="D118" s="420" t="str">
        <f>CONCATENATE("=   [ ",ROUND(C101*100,0)," % x ",ROUND(C$108,2)," pounds ]")</f>
        <v>=   [ 39 % x 1495.12 pounds ]</v>
      </c>
      <c r="E118" s="421"/>
      <c r="F118" s="421"/>
      <c r="G118" s="421"/>
    </row>
    <row r="119" spans="1:7" ht="6" customHeight="1" x14ac:dyDescent="0.2">
      <c r="C119" s="51"/>
    </row>
    <row r="121" spans="1:7" x14ac:dyDescent="0.2">
      <c r="A121" s="407" t="s">
        <v>231</v>
      </c>
      <c r="B121" s="407"/>
      <c r="C121" s="407"/>
      <c r="D121" s="407"/>
      <c r="E121" s="407"/>
      <c r="F121" s="407"/>
      <c r="G121" s="407"/>
    </row>
    <row r="122" spans="1:7" x14ac:dyDescent="0.2">
      <c r="A122" s="407" t="str">
        <f>CONCATENATE("the 'Percent of Area of Developed Lands' (from Step 4) by ",ROUND(C109,2)," pounds (calculated in Step 9):")</f>
        <v>the 'Percent of Area of Developed Lands' (from Step 4) by 996.75 pounds (calculated in Step 9):</v>
      </c>
      <c r="B122" s="407"/>
      <c r="C122" s="407"/>
      <c r="D122" s="407"/>
      <c r="E122" s="407"/>
      <c r="F122" s="407"/>
      <c r="G122" s="407"/>
    </row>
    <row r="123" spans="1:7" ht="6" customHeight="1" x14ac:dyDescent="0.2"/>
    <row r="124" spans="1:7" ht="16.899999999999999" customHeight="1" x14ac:dyDescent="0.2">
      <c r="B124" s="39" t="s">
        <v>286</v>
      </c>
      <c r="C124" s="13"/>
      <c r="D124" s="13"/>
      <c r="E124" s="13"/>
    </row>
    <row r="125" spans="1:7" x14ac:dyDescent="0.2">
      <c r="B125" s="232" t="s">
        <v>52</v>
      </c>
      <c r="C125" s="89">
        <f>C53/C$56*C$109</f>
        <v>818.95494556547169</v>
      </c>
      <c r="D125" s="420" t="str">
        <f>CONCATENATE("=   [ ",ROUND(D53*100,0)," % x ",ROUND(C$109,2)," pounds ]")</f>
        <v>=   [ 82 % x 996.75 pounds ]</v>
      </c>
      <c r="E125" s="421"/>
      <c r="F125" s="421"/>
      <c r="G125" s="421"/>
    </row>
    <row r="126" spans="1:7" x14ac:dyDescent="0.2">
      <c r="B126" s="265" t="s">
        <v>53</v>
      </c>
      <c r="C126" s="90">
        <f>C54/C$56*C$109</f>
        <v>62.440518515876299</v>
      </c>
      <c r="D126" s="422" t="str">
        <f>CONCATENATE("=   [ ",ROUND(D54*100,0)," % x ",ROUND(C$109,2)," pounds ]")</f>
        <v>=   [ 6 % x 996.75 pounds ]</v>
      </c>
      <c r="E126" s="423"/>
      <c r="F126" s="423"/>
      <c r="G126" s="423"/>
    </row>
    <row r="127" spans="1:7" x14ac:dyDescent="0.2">
      <c r="B127" s="232" t="s">
        <v>54</v>
      </c>
      <c r="C127" s="89">
        <f>C55/C$56*C$109</f>
        <v>115.35204203353635</v>
      </c>
      <c r="D127" s="420" t="str">
        <f>CONCATENATE("=   [ ",ROUND(D55*100,0)," % x ",ROUND(C$109,2)," pounds ]  ")</f>
        <v xml:space="preserve">=   [ 12 % x 996.75 pounds ]  </v>
      </c>
      <c r="E127" s="421"/>
      <c r="F127" s="421"/>
      <c r="G127" s="421"/>
    </row>
    <row r="128" spans="1:7" ht="7.15" customHeight="1" x14ac:dyDescent="0.2"/>
    <row r="130" spans="1:13" ht="26.45" customHeight="1" x14ac:dyDescent="0.2">
      <c r="A130" s="407" t="s">
        <v>232</v>
      </c>
      <c r="B130" s="407"/>
      <c r="C130" s="407"/>
      <c r="D130" s="407"/>
      <c r="E130" s="407"/>
      <c r="F130" s="407"/>
      <c r="G130" s="407"/>
    </row>
    <row r="131" spans="1:13" ht="6" customHeight="1" x14ac:dyDescent="0.2"/>
    <row r="132" spans="1:13" ht="16.149999999999999" customHeight="1" x14ac:dyDescent="0.2">
      <c r="B132" s="39" t="s">
        <v>287</v>
      </c>
      <c r="C132" s="283"/>
      <c r="D132" s="283"/>
      <c r="E132" s="13"/>
      <c r="F132" s="13"/>
      <c r="G132" s="13"/>
      <c r="H132" s="13"/>
      <c r="I132" s="13"/>
      <c r="J132" s="13"/>
      <c r="K132" s="13"/>
      <c r="L132" s="14"/>
      <c r="M132" s="66"/>
    </row>
    <row r="133" spans="1:13" x14ac:dyDescent="0.2">
      <c r="B133" s="232" t="s">
        <v>52</v>
      </c>
      <c r="C133" s="56">
        <f>+C116+C125</f>
        <v>1537.3284611641811</v>
      </c>
      <c r="D133" s="103" t="str">
        <f>CONCATENATE("   =   [ ",ROUND(C116,2)," pounds + ",ROUND(C125,2)," pounds ]")</f>
        <v xml:space="preserve">   =   [ 718.37 pounds + 818.95 pounds ]</v>
      </c>
      <c r="E133" s="38"/>
      <c r="F133" s="56"/>
      <c r="G133" s="38"/>
      <c r="I133" s="47"/>
      <c r="J133" s="47"/>
      <c r="K133" s="50"/>
      <c r="M133" s="52"/>
    </row>
    <row r="134" spans="1:13" x14ac:dyDescent="0.2">
      <c r="B134" s="265" t="s">
        <v>53</v>
      </c>
      <c r="C134" s="55">
        <f>+C117+C126</f>
        <v>252.31600005382538</v>
      </c>
      <c r="D134" s="75" t="str">
        <f>CONCATENATE("   =   [ ",ROUND(C117,2)," pounds + ",ROUND(C126,2)," pounds ]")</f>
        <v xml:space="preserve">   =   [ 189.88 pounds + 62.44 pounds ]</v>
      </c>
      <c r="E134" s="37"/>
      <c r="F134" s="55"/>
      <c r="G134" s="37"/>
      <c r="I134" s="47"/>
      <c r="J134" s="47"/>
      <c r="K134" s="50"/>
      <c r="M134" s="52"/>
    </row>
    <row r="135" spans="1:13" x14ac:dyDescent="0.2">
      <c r="B135" s="232" t="s">
        <v>54</v>
      </c>
      <c r="C135" s="56">
        <f>+C118+C127</f>
        <v>702.22430406920409</v>
      </c>
      <c r="D135" s="103" t="str">
        <f>CONCATENATE("   =   [ ",ROUND(C118,2)," pounds + ",ROUND(C127,2)," pounds ]")</f>
        <v xml:space="preserve">   =   [ 586.87 pounds + 115.35 pounds ]</v>
      </c>
      <c r="E135" s="38"/>
      <c r="F135" s="56"/>
      <c r="G135" s="38"/>
      <c r="I135" s="47"/>
      <c r="J135" s="47"/>
      <c r="K135" s="50"/>
      <c r="M135" s="52"/>
    </row>
    <row r="136" spans="1:13" ht="7.15" customHeight="1" x14ac:dyDescent="0.2">
      <c r="M136" s="51"/>
    </row>
    <row r="139" spans="1:13" x14ac:dyDescent="0.2">
      <c r="A139" s="1" t="s">
        <v>297</v>
      </c>
    </row>
    <row r="140" spans="1:13" ht="6" customHeight="1" x14ac:dyDescent="0.2"/>
    <row r="141" spans="1:13" x14ac:dyDescent="0.2">
      <c r="A141" s="1" t="str">
        <f>CONCATENATE("Watershed: ",'Christina Basin MapShed Output'!$B$3)</f>
        <v>Watershed: Red Clay</v>
      </c>
    </row>
    <row r="142" spans="1:13" ht="6" customHeight="1" x14ac:dyDescent="0.2"/>
    <row r="143" spans="1:13" x14ac:dyDescent="0.2">
      <c r="A143" s="1" t="str">
        <f>CONCATENATE("Year: ",'Christina Basin MapShed Output'!$C$16)</f>
        <v>Year: 2012</v>
      </c>
    </row>
    <row r="145" spans="1:7" ht="28.15" customHeight="1" x14ac:dyDescent="0.2">
      <c r="A145" s="407" t="s">
        <v>239</v>
      </c>
      <c r="B145" s="407"/>
      <c r="C145" s="407"/>
      <c r="D145" s="407"/>
      <c r="E145" s="407"/>
      <c r="F145" s="407"/>
      <c r="G145" s="407"/>
    </row>
    <row r="146" spans="1:7" ht="8.4499999999999993" customHeight="1" x14ac:dyDescent="0.2"/>
    <row r="147" spans="1:7" ht="53.45" customHeight="1" x14ac:dyDescent="0.2">
      <c r="A147" s="425" t="s">
        <v>288</v>
      </c>
      <c r="B147" s="425"/>
      <c r="C147" s="348" t="s">
        <v>50</v>
      </c>
      <c r="D147" s="284" t="s">
        <v>72</v>
      </c>
      <c r="E147" s="424" t="s">
        <v>289</v>
      </c>
      <c r="F147" s="424"/>
    </row>
    <row r="148" spans="1:7" x14ac:dyDescent="0.2">
      <c r="B148" s="285" t="s">
        <v>52</v>
      </c>
      <c r="C148" s="56">
        <f>+C133</f>
        <v>1537.3284611641811</v>
      </c>
      <c r="D148" s="56">
        <f>+C53</f>
        <v>12315.7</v>
      </c>
      <c r="E148" s="334">
        <f>+C148/D148</f>
        <v>0.12482672208353411</v>
      </c>
      <c r="F148" s="103" t="str">
        <f>CONCATENATE("= [",ROUND(C148,2)," lbs / ",(ROUND(D148,2))," acres ]")</f>
        <v>= [1537.33 lbs / 12315.7 acres ]</v>
      </c>
      <c r="G148" s="38"/>
    </row>
    <row r="149" spans="1:7" x14ac:dyDescent="0.2">
      <c r="B149" s="286" t="s">
        <v>53</v>
      </c>
      <c r="C149" s="55">
        <f>+C134</f>
        <v>252.31600005382538</v>
      </c>
      <c r="D149" s="55">
        <f>+C54</f>
        <v>939</v>
      </c>
      <c r="E149" s="335">
        <f>+C149/D149</f>
        <v>0.26870713530758827</v>
      </c>
      <c r="F149" s="75" t="str">
        <f>CONCATENATE("= [",ROUND(C149,2)," lbs / ",(ROUND(D149,2))," acres ]")</f>
        <v>= [252.32 lbs / 939 acres ]</v>
      </c>
      <c r="G149" s="37"/>
    </row>
    <row r="150" spans="1:7" x14ac:dyDescent="0.2">
      <c r="B150" s="285" t="s">
        <v>54</v>
      </c>
      <c r="C150" s="56">
        <f>+C135</f>
        <v>702.22430406920409</v>
      </c>
      <c r="D150" s="56">
        <f>+C55</f>
        <v>1734.7</v>
      </c>
      <c r="E150" s="334">
        <f>+C150/D150</f>
        <v>0.4048102288979098</v>
      </c>
      <c r="F150" s="103" t="str">
        <f>CONCATENATE("= [",ROUND(C150,2)," lbs / ",(ROUND(D150,2))," acres ]")</f>
        <v>= [702.22 lbs / 1734.7 acres ]</v>
      </c>
      <c r="G150" s="38"/>
    </row>
    <row r="151" spans="1:7" ht="6" customHeight="1" x14ac:dyDescent="0.2"/>
    <row r="152" spans="1:7" ht="7.15" customHeight="1" x14ac:dyDescent="0.2"/>
    <row r="154" spans="1:7" x14ac:dyDescent="0.2">
      <c r="A154" s="1" t="s">
        <v>240</v>
      </c>
    </row>
    <row r="155" spans="1:7" ht="6" customHeight="1" x14ac:dyDescent="0.2"/>
    <row r="156" spans="1:7" x14ac:dyDescent="0.2">
      <c r="B156" s="1" t="s">
        <v>60</v>
      </c>
      <c r="C156" s="108">
        <f>+C36</f>
        <v>3218.75</v>
      </c>
      <c r="D156" s="1" t="s">
        <v>228</v>
      </c>
      <c r="E156" s="49" t="s">
        <v>93</v>
      </c>
    </row>
    <row r="157" spans="1:7" ht="29.45" customHeight="1" x14ac:dyDescent="0.2">
      <c r="B157" s="355" t="s">
        <v>278</v>
      </c>
      <c r="C157" s="111">
        <f>+C70</f>
        <v>2491.8687652872109</v>
      </c>
      <c r="D157" s="46" t="s">
        <v>228</v>
      </c>
      <c r="E157" s="49" t="s">
        <v>94</v>
      </c>
    </row>
    <row r="158" spans="1:7" ht="25.5" x14ac:dyDescent="0.2">
      <c r="B158" s="10" t="s">
        <v>61</v>
      </c>
      <c r="C158" s="107">
        <f>+C156-C157</f>
        <v>726.88123471278914</v>
      </c>
      <c r="D158" s="1" t="s">
        <v>228</v>
      </c>
      <c r="E158" s="287" t="str">
        <f>CONCATENATE(" [ ",ROUND(C156,2)," pounds - ",ROUND(C157,2)," pounds ]")</f>
        <v xml:space="preserve"> [ 3218.75 pounds - 2491.87 pounds ]</v>
      </c>
    </row>
    <row r="159" spans="1:7" ht="8.4499999999999993" customHeight="1" x14ac:dyDescent="0.2"/>
    <row r="160" spans="1:7" x14ac:dyDescent="0.2">
      <c r="B160" s="1" t="s">
        <v>62</v>
      </c>
      <c r="C160" s="110">
        <f>+C41-C56</f>
        <v>19434.800000000003</v>
      </c>
      <c r="D160" s="1" t="s">
        <v>235</v>
      </c>
      <c r="E160" s="49" t="s">
        <v>95</v>
      </c>
    </row>
    <row r="161" spans="1:7" ht="9" customHeight="1" x14ac:dyDescent="0.2"/>
    <row r="162" spans="1:7" ht="38.25" x14ac:dyDescent="0.2">
      <c r="B162" s="69" t="s">
        <v>290</v>
      </c>
      <c r="C162" s="96">
        <f>+C158/C160</f>
        <v>3.7401014402658583E-2</v>
      </c>
      <c r="D162" s="69" t="s">
        <v>63</v>
      </c>
      <c r="E162" s="1" t="str">
        <f>CONCATENATE("=  [ ",ROUND(C158,2)," pounds / ",ROUND(C160,2)," acres ]")</f>
        <v>=  [ 726.88 pounds / 19434.8 acres ]</v>
      </c>
    </row>
    <row r="163" spans="1:7" ht="7.9" customHeight="1" x14ac:dyDescent="0.2"/>
    <row r="165" spans="1:7" ht="51" customHeight="1" x14ac:dyDescent="0.2">
      <c r="A165" s="407" t="s">
        <v>330</v>
      </c>
      <c r="B165" s="407"/>
      <c r="C165" s="407"/>
      <c r="D165" s="407"/>
      <c r="E165" s="407"/>
      <c r="F165" s="407"/>
      <c r="G165" s="407"/>
    </row>
  </sheetData>
  <sheetProtection sheet="1" objects="1" scenarios="1"/>
  <mergeCells count="25">
    <mergeCell ref="A165:G165"/>
    <mergeCell ref="D126:G126"/>
    <mergeCell ref="D127:G127"/>
    <mergeCell ref="A130:G130"/>
    <mergeCell ref="A145:G145"/>
    <mergeCell ref="A147:B147"/>
    <mergeCell ref="E147:F147"/>
    <mergeCell ref="D125:G125"/>
    <mergeCell ref="A50:G50"/>
    <mergeCell ref="A73:G73"/>
    <mergeCell ref="A81:G81"/>
    <mergeCell ref="A105:G105"/>
    <mergeCell ref="A112:G112"/>
    <mergeCell ref="A113:G113"/>
    <mergeCell ref="D116:G116"/>
    <mergeCell ref="D117:G117"/>
    <mergeCell ref="D118:G118"/>
    <mergeCell ref="A121:G121"/>
    <mergeCell ref="A122:G122"/>
    <mergeCell ref="A39:G39"/>
    <mergeCell ref="A7:F7"/>
    <mergeCell ref="A8:G8"/>
    <mergeCell ref="A11:G11"/>
    <mergeCell ref="A14:A29"/>
    <mergeCell ref="A33:G33"/>
  </mergeCells>
  <pageMargins left="0.75" right="0.59718749999999998" top="0.5" bottom="0.75" header="0.3" footer="0.3"/>
  <pageSetup fitToWidth="0" fitToHeight="0" orientation="portrait" r:id="rId1"/>
  <headerFooter>
    <oddFooter>&amp;L&amp;"Arial,Regular"&amp;9Section 8: Backup for Stream Bank Total Phos. Loading&amp;C&amp;"Arial,Regular"&amp;9Page &amp;P of &amp;N&amp;R&amp;"Arial,Regular"&amp;9Christina Basin Loading Rates Tool (May 12, 2017)</oddFooter>
  </headerFooter>
  <rowBreaks count="3" manualBreakCount="3">
    <brk id="42" max="16383" man="1"/>
    <brk id="88" max="16383" man="1"/>
    <brk id="1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 Page</vt:lpstr>
      <vt:lpstr>Instructions&amp;Overview</vt:lpstr>
      <vt:lpstr>LandUseLoadingRatesLookUpTable</vt:lpstr>
      <vt:lpstr>Christina Basin MapShed Output</vt:lpstr>
      <vt:lpstr>Map</vt:lpstr>
      <vt:lpstr>Farm Animal TN and TP Loading</vt:lpstr>
      <vt:lpstr>Stream Bank SedimentLoadingRate</vt:lpstr>
      <vt:lpstr>Stream Bank Nitrogen Loading</vt:lpstr>
      <vt:lpstr>Stream Bank Phosphorus Loading</vt:lpstr>
      <vt:lpstr>TMDL % Reductions</vt:lpstr>
      <vt:lpstr>Map!Print_Area</vt:lpstr>
    </vt:vector>
  </TitlesOfParts>
  <Company>County of Chester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Betz, Dani-Ella</dc:creator>
  <cp:lastModifiedBy>Betz, Dani-Ella</cp:lastModifiedBy>
  <cp:lastPrinted>2017-05-02T16:24:18Z</cp:lastPrinted>
  <dcterms:created xsi:type="dcterms:W3CDTF">2017-03-01T19:27:22Z</dcterms:created>
  <dcterms:modified xsi:type="dcterms:W3CDTF">2017-05-12T18:35:47Z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2016273816</vt:i4>
  </property>
  <property fmtid="{D5CDD505-2E9C-101B-9397-08002B2CF9AE}" pid="3" name="_NewReviewCycle">
    <vt:lpwstr/>
  </property>
  <property fmtid="{D5CDD505-2E9C-101B-9397-08002B2CF9AE}" pid="4" name="_EmailSubject">
    <vt:lpwstr>[EXTERNAL] - Re: FW: CWMP login assistance</vt:lpwstr>
  </property>
  <property fmtid="{D5CDD505-2E9C-101B-9397-08002B2CF9AE}" pid="5" name="_AuthorEmail">
    <vt:lpwstr>ctrego@chesco.org</vt:lpwstr>
  </property>
  <property fmtid="{D5CDD505-2E9C-101B-9397-08002B2CF9AE}" pid="6" name="_AuthorEmailDisplayName">
    <vt:lpwstr>Trego, Cory T.</vt:lpwstr>
  </property>
</Properties>
</file>